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showInkAnnotation="0" defaultThemeVersion="124226"/>
  <mc:AlternateContent xmlns:mc="http://schemas.openxmlformats.org/markup-compatibility/2006">
    <mc:Choice Requires="x15">
      <x15ac:absPath xmlns:x15ac="http://schemas.microsoft.com/office/spreadsheetml/2010/11/ac" url="C:\Users\SECRETARIA.1\Documents\SILVIA\"/>
    </mc:Choice>
  </mc:AlternateContent>
  <xr:revisionPtr revIDLastSave="0" documentId="13_ncr:1_{997B6FF0-D346-4BE4-B774-315593D3BDB1}" xr6:coauthVersionLast="45" xr6:coauthVersionMax="45" xr10:uidLastSave="{00000000-0000-0000-0000-000000000000}"/>
  <bookViews>
    <workbookView xWindow="-120" yWindow="-120" windowWidth="24240" windowHeight="13140" tabRatio="964" firstSheet="5" activeTab="5" xr2:uid="{00000000-000D-0000-FFFF-FFFF00000000}"/>
  </bookViews>
  <sheets>
    <sheet name="anexo1" sheetId="1" state="hidden" r:id="rId1"/>
    <sheet name="Hoja1 (2)" sheetId="32" state="hidden" r:id="rId2"/>
    <sheet name="DATOS1" sheetId="22" state="hidden" r:id="rId3"/>
    <sheet name="anexo3 DATOS" sheetId="28" state="hidden" r:id="rId4"/>
    <sheet name="anexo11(18)" sheetId="33" state="hidden" r:id="rId5"/>
    <sheet name="anexo01(19) real" sheetId="43" r:id="rId6"/>
    <sheet name="anexo12 (18) NO PROGRAMADAS" sheetId="18" state="hidden" r:id="rId7"/>
    <sheet name="anexo3 (1.2) (2)" sheetId="30" state="hidden" r:id="rId8"/>
    <sheet name="anexoREF DISIND (2)" sheetId="42" state="hidden" r:id="rId9"/>
    <sheet name="anexo11-JL-DIC2018 DISIND" sheetId="51" state="hidden" r:id="rId10"/>
    <sheet name="anexo7 (1.1)" sheetId="23" state="hidden" r:id="rId11"/>
  </sheets>
  <definedNames>
    <definedName name="_xlnm._FilterDatabase" localSheetId="0" hidden="1">anexo1!$A$7:$H$28</definedName>
    <definedName name="_xlnm._FilterDatabase" localSheetId="6" hidden="1">'anexo12 (18) NO PROGRAMADAS'!$A$6:$K$21</definedName>
    <definedName name="_Hlk31107594" localSheetId="5">'anexo01(19) real'!#REF!</definedName>
    <definedName name="_xlnm.Print_Area" localSheetId="0">anexo1!$A$1:$I$48</definedName>
    <definedName name="_xlnm.Print_Area" localSheetId="10">'anexo7 (1.1)'!$B$1:$I$21</definedName>
    <definedName name="_xlnm.Print_Titles" localSheetId="5">'anexo01(19) real'!$1:$8</definedName>
    <definedName name="_xlnm.Print_Titles" localSheetId="4">'anexo11(18)'!$1:$8</definedName>
    <definedName name="_xlnm.Print_Titles" localSheetId="9">'anexo11-JL-DIC2018 DISIND'!$1:$2</definedName>
    <definedName name="_xlnm.Print_Titles" localSheetId="6">'anexo12 (18) NO PROGRAMADAS'!$1:$6</definedName>
    <definedName name="_xlnm.Print_Titles" localSheetId="7">'anexo3 (1.2) (2)'!$1:$1</definedName>
    <definedName name="_xlnm.Print_Titles" localSheetId="10">'anexo7 (1.1)'!$1:$5</definedName>
    <definedName name="_xlnm.Print_Titles" localSheetId="8">'anexoREF DISIND (2)'!$1:$2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8" i="43" l="1"/>
  <c r="L20" i="43"/>
  <c r="N40" i="43"/>
  <c r="M40" i="43"/>
  <c r="L40" i="43"/>
  <c r="N38" i="43"/>
  <c r="M38" i="43"/>
  <c r="L38" i="43"/>
  <c r="N36" i="43"/>
  <c r="M36" i="43"/>
  <c r="L36" i="43"/>
  <c r="O38" i="43" l="1"/>
  <c r="O36" i="43"/>
  <c r="O40" i="43"/>
  <c r="M28" i="43" l="1"/>
  <c r="N15" i="43"/>
  <c r="M33" i="43"/>
  <c r="N33" i="43"/>
  <c r="N12" i="43"/>
  <c r="N17" i="43"/>
  <c r="M17" i="43" l="1"/>
  <c r="L17" i="43"/>
  <c r="O33" i="43"/>
  <c r="M12" i="43"/>
  <c r="N9" i="43"/>
  <c r="M9" i="43"/>
  <c r="O17" i="43" l="1"/>
  <c r="E105" i="51" l="1"/>
  <c r="E104" i="51"/>
  <c r="E103" i="51"/>
  <c r="E85" i="51"/>
  <c r="E84" i="51"/>
  <c r="E29" i="51"/>
  <c r="E28" i="51"/>
  <c r="E106" i="51" l="1"/>
  <c r="C10" i="51" l="1"/>
  <c r="L33" i="43"/>
  <c r="O12" i="43"/>
  <c r="L12" i="43"/>
  <c r="C142" i="51"/>
  <c r="D147" i="51" s="1"/>
  <c r="E146" i="51" s="1"/>
  <c r="F146" i="51" s="1"/>
  <c r="H146" i="51" s="1"/>
  <c r="E141" i="51"/>
  <c r="E142" i="51" s="1"/>
  <c r="E152" i="51"/>
  <c r="C152" i="51"/>
  <c r="C146" i="51"/>
  <c r="G147" i="51" s="1"/>
  <c r="E134" i="51"/>
  <c r="C134" i="51"/>
  <c r="C128" i="51"/>
  <c r="G129" i="51" s="1"/>
  <c r="C124" i="51"/>
  <c r="D129" i="51" s="1"/>
  <c r="E128" i="51" s="1"/>
  <c r="F128" i="51" s="1"/>
  <c r="H128" i="51" s="1"/>
  <c r="E123" i="51"/>
  <c r="E124" i="51" s="1"/>
  <c r="C106" i="51"/>
  <c r="C116" i="51"/>
  <c r="E110" i="51"/>
  <c r="F110" i="51" s="1"/>
  <c r="C110" i="51"/>
  <c r="G111" i="51" s="1"/>
  <c r="C48" i="51"/>
  <c r="E47" i="51"/>
  <c r="E46" i="51"/>
  <c r="E48" i="51" s="1"/>
  <c r="H110" i="51" l="1"/>
  <c r="F152" i="51"/>
  <c r="H152" i="51" s="1"/>
  <c r="F134" i="51"/>
  <c r="H134" i="51" s="1"/>
  <c r="D117" i="51"/>
  <c r="E116" i="51" s="1"/>
  <c r="F116" i="51" s="1"/>
  <c r="H116" i="51" s="1"/>
  <c r="D59" i="51"/>
  <c r="C86" i="51" l="1"/>
  <c r="E83" i="51"/>
  <c r="E86" i="51" s="1"/>
  <c r="D97" i="51" s="1"/>
  <c r="E96" i="51" s="1"/>
  <c r="C96" i="51"/>
  <c r="E90" i="51"/>
  <c r="F90" i="51" s="1"/>
  <c r="C90" i="51"/>
  <c r="G91" i="51" s="1"/>
  <c r="C67" i="51"/>
  <c r="E66" i="51"/>
  <c r="E65" i="51"/>
  <c r="C30" i="51"/>
  <c r="E27" i="51"/>
  <c r="E26" i="51"/>
  <c r="E9" i="51"/>
  <c r="E8" i="51"/>
  <c r="E7" i="51"/>
  <c r="E6" i="51"/>
  <c r="H192" i="51"/>
  <c r="E192" i="51"/>
  <c r="C192" i="51"/>
  <c r="E187" i="51"/>
  <c r="F187" i="51" s="1"/>
  <c r="C187" i="51"/>
  <c r="G188" i="51" s="1"/>
  <c r="C182" i="51"/>
  <c r="E182" i="51" s="1"/>
  <c r="C181" i="51"/>
  <c r="C183" i="51" s="1"/>
  <c r="E180" i="51"/>
  <c r="E172" i="51"/>
  <c r="C172" i="51"/>
  <c r="E167" i="51"/>
  <c r="F167" i="51" s="1"/>
  <c r="C167" i="51"/>
  <c r="G168" i="51" s="1"/>
  <c r="C162" i="51"/>
  <c r="C163" i="51" s="1"/>
  <c r="E161" i="51"/>
  <c r="C77" i="51"/>
  <c r="E71" i="51"/>
  <c r="F71" i="51" s="1"/>
  <c r="C71" i="51"/>
  <c r="G72" i="51" s="1"/>
  <c r="C58" i="51"/>
  <c r="C52" i="51"/>
  <c r="G53" i="51" s="1"/>
  <c r="E52" i="51"/>
  <c r="F52" i="51" s="1"/>
  <c r="H52" i="51" s="1"/>
  <c r="C40" i="51"/>
  <c r="E34" i="51"/>
  <c r="F34" i="51" s="1"/>
  <c r="C34" i="51"/>
  <c r="G35" i="51" s="1"/>
  <c r="C20" i="51"/>
  <c r="E14" i="51"/>
  <c r="F14" i="51" s="1"/>
  <c r="C14" i="51"/>
  <c r="G15" i="51" s="1"/>
  <c r="A1" i="51"/>
  <c r="E67" i="51" l="1"/>
  <c r="E30" i="51"/>
  <c r="D41" i="51" s="1"/>
  <c r="E40" i="51" s="1"/>
  <c r="F40" i="51" s="1"/>
  <c r="H40" i="51" s="1"/>
  <c r="H71" i="51"/>
  <c r="E10" i="51"/>
  <c r="H90" i="51"/>
  <c r="F172" i="51"/>
  <c r="H172" i="51" s="1"/>
  <c r="H167" i="51"/>
  <c r="E181" i="51"/>
  <c r="E183" i="51" s="1"/>
  <c r="H34" i="51"/>
  <c r="D21" i="51"/>
  <c r="E20" i="51" s="1"/>
  <c r="F20" i="51" s="1"/>
  <c r="H20" i="51" s="1"/>
  <c r="F96" i="51"/>
  <c r="H96" i="51" s="1"/>
  <c r="D78" i="51"/>
  <c r="E77" i="51" s="1"/>
  <c r="F77" i="51" s="1"/>
  <c r="H77" i="51" s="1"/>
  <c r="H187" i="51"/>
  <c r="E58" i="51"/>
  <c r="F58" i="51" s="1"/>
  <c r="H58" i="51" s="1"/>
  <c r="H14" i="51"/>
  <c r="E162" i="51"/>
  <c r="E163" i="51" s="1"/>
  <c r="E6" i="42" l="1"/>
  <c r="O31" i="43" l="1"/>
  <c r="L9" i="43"/>
  <c r="E58" i="42"/>
  <c r="C58" i="42"/>
  <c r="E57" i="42"/>
  <c r="C57" i="42"/>
  <c r="E56" i="42"/>
  <c r="C56" i="42"/>
  <c r="E55" i="42"/>
  <c r="C55" i="42"/>
  <c r="E54" i="42"/>
  <c r="C54" i="42"/>
  <c r="E53" i="42"/>
  <c r="E60" i="42" l="1"/>
  <c r="D72" i="42" s="1"/>
  <c r="C60" i="42"/>
  <c r="L31" i="43" l="1"/>
  <c r="H102" i="42" l="1"/>
  <c r="E102" i="42"/>
  <c r="C102" i="42"/>
  <c r="E97" i="42"/>
  <c r="F97" i="42" s="1"/>
  <c r="C97" i="42"/>
  <c r="G98" i="42" s="1"/>
  <c r="E90" i="42"/>
  <c r="C90" i="42"/>
  <c r="E85" i="42"/>
  <c r="F85" i="42" s="1"/>
  <c r="C85" i="42"/>
  <c r="G86" i="42" s="1"/>
  <c r="C80" i="42"/>
  <c r="C81" i="42" s="1"/>
  <c r="E79" i="42"/>
  <c r="E71" i="42"/>
  <c r="C71" i="42"/>
  <c r="E65" i="42"/>
  <c r="F65" i="42" s="1"/>
  <c r="H65" i="42" s="1"/>
  <c r="C65" i="42"/>
  <c r="G66" i="42" s="1"/>
  <c r="E46" i="42"/>
  <c r="C46" i="42"/>
  <c r="E40" i="42"/>
  <c r="F40" i="42" s="1"/>
  <c r="C40" i="42"/>
  <c r="G41" i="42" s="1"/>
  <c r="E34" i="42"/>
  <c r="C34" i="42"/>
  <c r="E33" i="42"/>
  <c r="C33" i="42"/>
  <c r="E32" i="42"/>
  <c r="C32" i="42"/>
  <c r="E25" i="42"/>
  <c r="C25" i="42"/>
  <c r="E19" i="42"/>
  <c r="F19" i="42" s="1"/>
  <c r="C19" i="42"/>
  <c r="G20" i="42" s="1"/>
  <c r="C12" i="42"/>
  <c r="E12" i="42" s="1"/>
  <c r="C11" i="42"/>
  <c r="E11" i="42" s="1"/>
  <c r="C10" i="42"/>
  <c r="E10" i="42" s="1"/>
  <c r="C9" i="42"/>
  <c r="E9" i="42" s="1"/>
  <c r="C8" i="42"/>
  <c r="E8" i="42" s="1"/>
  <c r="C7" i="42"/>
  <c r="E7" i="42" s="1"/>
  <c r="A1" i="42"/>
  <c r="O9" i="43" l="1"/>
  <c r="F90" i="42"/>
  <c r="H90" i="42" s="1"/>
  <c r="F71" i="42"/>
  <c r="H71" i="42" s="1"/>
  <c r="F25" i="42"/>
  <c r="H25" i="42" s="1"/>
  <c r="H97" i="42"/>
  <c r="H40" i="42"/>
  <c r="F46" i="42"/>
  <c r="H46" i="42" s="1"/>
  <c r="C35" i="42"/>
  <c r="E14" i="42"/>
  <c r="E35" i="42"/>
  <c r="H19" i="42"/>
  <c r="H85" i="42"/>
  <c r="C14" i="42"/>
  <c r="E80" i="42"/>
  <c r="E81" i="42" s="1"/>
  <c r="B17" i="18" l="1"/>
  <c r="B18" i="18"/>
  <c r="B19" i="18"/>
  <c r="B20" i="18"/>
  <c r="B21" i="18"/>
  <c r="B22" i="18"/>
  <c r="B23" i="18"/>
  <c r="B24" i="18"/>
  <c r="B25" i="18"/>
  <c r="B26" i="18"/>
  <c r="P18" i="33" l="1"/>
  <c r="N11" i="33" l="1"/>
  <c r="P11" i="33" s="1"/>
  <c r="O10" i="33"/>
  <c r="N10" i="33"/>
  <c r="P16" i="33" l="1"/>
  <c r="Q16" i="33" s="1"/>
  <c r="O30" i="33"/>
  <c r="N30" i="33"/>
  <c r="Q18" i="33"/>
  <c r="K30" i="33"/>
  <c r="J30" i="33"/>
  <c r="P30" i="33" l="1"/>
  <c r="Q30" i="33" s="1"/>
  <c r="L11" i="33" l="1"/>
  <c r="M11" i="33" s="1"/>
  <c r="L16" i="33"/>
  <c r="M16" i="33" s="1"/>
  <c r="L18" i="33"/>
  <c r="M18" i="33" s="1"/>
  <c r="L30" i="33"/>
  <c r="L10" i="33" l="1"/>
  <c r="M10" i="33" s="1"/>
  <c r="B48" i="32"/>
  <c r="H5" i="22" l="1"/>
  <c r="H6" i="22"/>
  <c r="H7" i="22"/>
  <c r="H8" i="22"/>
  <c r="H9" i="22"/>
  <c r="H10" i="22"/>
  <c r="H11" i="22"/>
  <c r="H12" i="22"/>
  <c r="H13" i="22"/>
  <c r="H14" i="22"/>
  <c r="H15" i="22"/>
  <c r="H16" i="22"/>
  <c r="H17" i="22"/>
  <c r="H18" i="22"/>
  <c r="H19" i="22"/>
  <c r="H20" i="22"/>
  <c r="H21" i="22"/>
  <c r="H22" i="22"/>
  <c r="H23" i="22"/>
  <c r="I5" i="22"/>
  <c r="I6" i="22"/>
  <c r="I7" i="22"/>
  <c r="I8" i="22"/>
  <c r="I9" i="22"/>
  <c r="I10" i="22"/>
  <c r="I11" i="22"/>
  <c r="I12" i="22"/>
  <c r="I13" i="22"/>
  <c r="I14" i="22"/>
  <c r="I15" i="22"/>
  <c r="I16" i="22"/>
  <c r="I17" i="22"/>
  <c r="I18" i="22"/>
  <c r="I19" i="22"/>
  <c r="I20" i="22"/>
  <c r="I21" i="22"/>
  <c r="I22" i="22"/>
  <c r="I23" i="22"/>
  <c r="H4" i="22" l="1"/>
  <c r="D259" i="30"/>
  <c r="D260" i="30"/>
  <c r="D261" i="30"/>
  <c r="D262" i="30"/>
  <c r="D263" i="30"/>
  <c r="D264" i="30"/>
  <c r="D265" i="30"/>
  <c r="D251" i="30"/>
  <c r="D250" i="30"/>
  <c r="D249" i="30"/>
  <c r="D248" i="30"/>
  <c r="D247" i="30"/>
  <c r="D246" i="30"/>
  <c r="D245" i="30"/>
  <c r="D237" i="30"/>
  <c r="D236" i="30"/>
  <c r="D235" i="30"/>
  <c r="D234" i="30"/>
  <c r="D233" i="30"/>
  <c r="D232" i="30"/>
  <c r="D231" i="30"/>
  <c r="D223" i="30"/>
  <c r="D222" i="30"/>
  <c r="D221" i="30"/>
  <c r="D220" i="30"/>
  <c r="D219" i="30"/>
  <c r="D218" i="30"/>
  <c r="D217" i="30"/>
  <c r="D209" i="30"/>
  <c r="D208" i="30"/>
  <c r="D207" i="30"/>
  <c r="D206" i="30"/>
  <c r="D205" i="30"/>
  <c r="D204" i="30"/>
  <c r="D203" i="30"/>
  <c r="D195" i="30"/>
  <c r="D194" i="30"/>
  <c r="D193" i="30"/>
  <c r="D192" i="30"/>
  <c r="D191" i="30"/>
  <c r="D190" i="30"/>
  <c r="D189" i="30"/>
  <c r="D181" i="30"/>
  <c r="D180" i="30"/>
  <c r="D179" i="30"/>
  <c r="D178" i="30"/>
  <c r="D177" i="30"/>
  <c r="D176" i="30"/>
  <c r="D175" i="30"/>
  <c r="D167" i="30"/>
  <c r="D166" i="30"/>
  <c r="D165" i="30"/>
  <c r="D164" i="30"/>
  <c r="D163" i="30"/>
  <c r="D162" i="30"/>
  <c r="D161" i="30"/>
  <c r="D153" i="30"/>
  <c r="D152" i="30"/>
  <c r="D151" i="30"/>
  <c r="D150" i="30"/>
  <c r="D149" i="30"/>
  <c r="D148" i="30"/>
  <c r="D147" i="30"/>
  <c r="D139" i="30"/>
  <c r="D138" i="30"/>
  <c r="D137" i="30"/>
  <c r="D136" i="30"/>
  <c r="D135" i="30"/>
  <c r="D134" i="30"/>
  <c r="D133" i="30"/>
  <c r="D125" i="30"/>
  <c r="D124" i="30"/>
  <c r="D123" i="30"/>
  <c r="D122" i="30"/>
  <c r="D121" i="30"/>
  <c r="D120" i="30"/>
  <c r="D119" i="30"/>
  <c r="D111" i="30"/>
  <c r="D110" i="30"/>
  <c r="D109" i="30"/>
  <c r="D108" i="30"/>
  <c r="D107" i="30"/>
  <c r="D106" i="30"/>
  <c r="D105" i="30"/>
  <c r="D97" i="30"/>
  <c r="D96" i="30"/>
  <c r="D95" i="30"/>
  <c r="D94" i="30"/>
  <c r="D93" i="30"/>
  <c r="D92" i="30"/>
  <c r="D91" i="30"/>
  <c r="D83" i="30"/>
  <c r="D82" i="30"/>
  <c r="D81" i="30"/>
  <c r="D80" i="30"/>
  <c r="D79" i="30"/>
  <c r="D78" i="30"/>
  <c r="D77" i="30"/>
  <c r="D69" i="30"/>
  <c r="D68" i="30"/>
  <c r="D67" i="30"/>
  <c r="D66" i="30"/>
  <c r="D65" i="30"/>
  <c r="D64" i="30"/>
  <c r="D63" i="30"/>
  <c r="D55" i="30"/>
  <c r="D54" i="30"/>
  <c r="D53" i="30"/>
  <c r="D52" i="30"/>
  <c r="D51" i="30"/>
  <c r="D50" i="30"/>
  <c r="D49" i="30"/>
  <c r="D41" i="30"/>
  <c r="D40" i="30"/>
  <c r="D39" i="30"/>
  <c r="D38" i="30"/>
  <c r="D37" i="30"/>
  <c r="D36" i="30"/>
  <c r="D35" i="30"/>
  <c r="D27" i="30"/>
  <c r="D26" i="30"/>
  <c r="D25" i="30"/>
  <c r="D24" i="30"/>
  <c r="D23" i="30"/>
  <c r="D22" i="30"/>
  <c r="D21" i="30"/>
  <c r="C249" i="30" l="1"/>
  <c r="C235" i="30"/>
  <c r="E235" i="30" s="1"/>
  <c r="C221" i="30"/>
  <c r="C206" i="30"/>
  <c r="E206" i="30" s="1"/>
  <c r="C191" i="30"/>
  <c r="E191" i="30" s="1"/>
  <c r="C176" i="30"/>
  <c r="E176" i="30" s="1"/>
  <c r="C167" i="30"/>
  <c r="E167" i="30" s="1"/>
  <c r="C153" i="30"/>
  <c r="E153" i="30" s="1"/>
  <c r="C138" i="30"/>
  <c r="C123" i="30"/>
  <c r="C108" i="30"/>
  <c r="E108" i="30" s="1"/>
  <c r="C92" i="30"/>
  <c r="E92" i="30" s="1"/>
  <c r="C49" i="30"/>
  <c r="C35" i="30"/>
  <c r="C81" i="30"/>
  <c r="C78" i="30"/>
  <c r="E78" i="30" s="1"/>
  <c r="C68" i="30"/>
  <c r="E68" i="30" s="1"/>
  <c r="C65" i="30"/>
  <c r="E65" i="30" s="1"/>
  <c r="C37" i="30"/>
  <c r="E37" i="30" s="1"/>
  <c r="C27" i="30"/>
  <c r="E27" i="30" s="1"/>
  <c r="C24" i="30"/>
  <c r="E24" i="30" s="1"/>
  <c r="C8" i="30"/>
  <c r="E8" i="30" s="1"/>
  <c r="C7" i="30"/>
  <c r="C11" i="30"/>
  <c r="E11" i="30" s="1"/>
  <c r="C250" i="30"/>
  <c r="C236" i="30"/>
  <c r="E236" i="30" s="1"/>
  <c r="C222" i="30"/>
  <c r="C207" i="30"/>
  <c r="E207" i="30" s="1"/>
  <c r="C192" i="30"/>
  <c r="E192" i="30" s="1"/>
  <c r="C177" i="30"/>
  <c r="E177" i="30" s="1"/>
  <c r="C162" i="30"/>
  <c r="E162" i="30" s="1"/>
  <c r="C148" i="30"/>
  <c r="E148" i="30" s="1"/>
  <c r="C147" i="30"/>
  <c r="C139" i="30"/>
  <c r="E139" i="30" s="1"/>
  <c r="C124" i="30"/>
  <c r="C109" i="30"/>
  <c r="C91" i="30"/>
  <c r="C53" i="30"/>
  <c r="E53" i="30" s="1"/>
  <c r="C95" i="30"/>
  <c r="C50" i="30"/>
  <c r="E50" i="30" s="1"/>
  <c r="C40" i="30"/>
  <c r="E40" i="30" s="1"/>
  <c r="C13" i="30"/>
  <c r="E13" i="30" s="1"/>
  <c r="C251" i="30"/>
  <c r="E251" i="30" s="1"/>
  <c r="C237" i="30"/>
  <c r="E237" i="30" s="1"/>
  <c r="C223" i="30"/>
  <c r="E223" i="30" s="1"/>
  <c r="C208" i="30"/>
  <c r="E208" i="30" s="1"/>
  <c r="C193" i="30"/>
  <c r="E193" i="30" s="1"/>
  <c r="C178" i="30"/>
  <c r="E178" i="30" s="1"/>
  <c r="C163" i="30"/>
  <c r="E163" i="30" s="1"/>
  <c r="C149" i="30"/>
  <c r="E149" i="30" s="1"/>
  <c r="C134" i="30"/>
  <c r="E134" i="30" s="1"/>
  <c r="C133" i="30"/>
  <c r="C125" i="30"/>
  <c r="E125" i="30" s="1"/>
  <c r="C110" i="30"/>
  <c r="C54" i="30"/>
  <c r="E54" i="30" s="1"/>
  <c r="C83" i="30"/>
  <c r="E83" i="30" s="1"/>
  <c r="C80" i="30"/>
  <c r="E80" i="30" s="1"/>
  <c r="C67" i="30"/>
  <c r="E67" i="30" s="1"/>
  <c r="C64" i="30"/>
  <c r="E64" i="30" s="1"/>
  <c r="C36" i="30"/>
  <c r="E36" i="30" s="1"/>
  <c r="C26" i="30"/>
  <c r="E26" i="30" s="1"/>
  <c r="C12" i="30"/>
  <c r="E12" i="30" s="1"/>
  <c r="C22" i="30"/>
  <c r="E22" i="30" s="1"/>
  <c r="C25" i="30"/>
  <c r="E25" i="30" s="1"/>
  <c r="C246" i="30"/>
  <c r="E246" i="30" s="1"/>
  <c r="C232" i="30"/>
  <c r="E232" i="30" s="1"/>
  <c r="C218" i="30"/>
  <c r="E218" i="30" s="1"/>
  <c r="C217" i="30"/>
  <c r="C209" i="30"/>
  <c r="E209" i="30" s="1"/>
  <c r="C194" i="30"/>
  <c r="E194" i="30" s="1"/>
  <c r="C179" i="30"/>
  <c r="E179" i="30" s="1"/>
  <c r="C164" i="30"/>
  <c r="E164" i="30" s="1"/>
  <c r="C150" i="30"/>
  <c r="E150" i="30" s="1"/>
  <c r="C135" i="30"/>
  <c r="E135" i="30" s="1"/>
  <c r="C120" i="30"/>
  <c r="E120" i="30" s="1"/>
  <c r="C119" i="30"/>
  <c r="C111" i="30"/>
  <c r="E111" i="30" s="1"/>
  <c r="C55" i="30"/>
  <c r="E55" i="30" s="1"/>
  <c r="C97" i="30"/>
  <c r="E97" i="30" s="1"/>
  <c r="C94" i="30"/>
  <c r="E94" i="30" s="1"/>
  <c r="C52" i="30"/>
  <c r="E52" i="30" s="1"/>
  <c r="C39" i="30"/>
  <c r="E39" i="30" s="1"/>
  <c r="C10" i="30"/>
  <c r="E10" i="30" s="1"/>
  <c r="C247" i="30"/>
  <c r="E247" i="30" s="1"/>
  <c r="C233" i="30"/>
  <c r="E233" i="30" s="1"/>
  <c r="C219" i="30"/>
  <c r="E219" i="30" s="1"/>
  <c r="C204" i="30"/>
  <c r="E204" i="30" s="1"/>
  <c r="C203" i="30"/>
  <c r="C195" i="30"/>
  <c r="E195" i="30" s="1"/>
  <c r="C180" i="30"/>
  <c r="E180" i="30" s="1"/>
  <c r="C165" i="30"/>
  <c r="E165" i="30" s="1"/>
  <c r="C151" i="30"/>
  <c r="C136" i="30"/>
  <c r="E136" i="30" s="1"/>
  <c r="C121" i="30"/>
  <c r="E121" i="30" s="1"/>
  <c r="C106" i="30"/>
  <c r="E106" i="30" s="1"/>
  <c r="C105" i="30"/>
  <c r="C77" i="30"/>
  <c r="C38" i="30"/>
  <c r="E38" i="30" s="1"/>
  <c r="C82" i="30"/>
  <c r="C79" i="30"/>
  <c r="E79" i="30" s="1"/>
  <c r="C69" i="30"/>
  <c r="E69" i="30" s="1"/>
  <c r="C66" i="30"/>
  <c r="E66" i="30" s="1"/>
  <c r="C248" i="30"/>
  <c r="E248" i="30" s="1"/>
  <c r="C234" i="30"/>
  <c r="E234" i="30" s="1"/>
  <c r="C220" i="30"/>
  <c r="E220" i="30" s="1"/>
  <c r="C205" i="30"/>
  <c r="E205" i="30" s="1"/>
  <c r="C190" i="30"/>
  <c r="E190" i="30" s="1"/>
  <c r="C189" i="30"/>
  <c r="C181" i="30"/>
  <c r="E181" i="30" s="1"/>
  <c r="C166" i="30"/>
  <c r="E166" i="30" s="1"/>
  <c r="C152" i="30"/>
  <c r="C137" i="30"/>
  <c r="C122" i="30"/>
  <c r="E122" i="30" s="1"/>
  <c r="C107" i="30"/>
  <c r="E107" i="30" s="1"/>
  <c r="C93" i="30"/>
  <c r="E93" i="30" s="1"/>
  <c r="C63" i="30"/>
  <c r="C23" i="30"/>
  <c r="E23" i="30" s="1"/>
  <c r="C96" i="30"/>
  <c r="C51" i="30"/>
  <c r="E51" i="30" s="1"/>
  <c r="C41" i="30"/>
  <c r="E41" i="30" s="1"/>
  <c r="C21" i="30"/>
  <c r="C9" i="30"/>
  <c r="E9" i="30" s="1"/>
  <c r="C264" i="30" l="1"/>
  <c r="E189" i="30"/>
  <c r="E197" i="30" s="1"/>
  <c r="L18" i="28" s="1"/>
  <c r="C197" i="30"/>
  <c r="K18" i="28" s="1"/>
  <c r="E105" i="30"/>
  <c r="E113" i="30" s="1"/>
  <c r="L12" i="28" s="1"/>
  <c r="C113" i="30"/>
  <c r="K12" i="28" s="1"/>
  <c r="E119" i="30"/>
  <c r="E127" i="30" s="1"/>
  <c r="L13" i="28" s="1"/>
  <c r="C127" i="30"/>
  <c r="K13" i="28" s="1"/>
  <c r="C43" i="30"/>
  <c r="K7" i="28" s="1"/>
  <c r="E35" i="30"/>
  <c r="E43" i="30" s="1"/>
  <c r="L7" i="28" s="1"/>
  <c r="C71" i="30"/>
  <c r="K9" i="28" s="1"/>
  <c r="E63" i="30"/>
  <c r="E71" i="30" s="1"/>
  <c r="L9" i="28" s="1"/>
  <c r="C99" i="30"/>
  <c r="K11" i="28" s="1"/>
  <c r="E91" i="30"/>
  <c r="E99" i="30" s="1"/>
  <c r="L11" i="28" s="1"/>
  <c r="E7" i="30"/>
  <c r="C15" i="30"/>
  <c r="K5" i="28" s="1"/>
  <c r="E49" i="30"/>
  <c r="E57" i="30" s="1"/>
  <c r="L8" i="28" s="1"/>
  <c r="C57" i="30"/>
  <c r="K8" i="28" s="1"/>
  <c r="C29" i="30"/>
  <c r="K6" i="28" s="1"/>
  <c r="E21" i="30"/>
  <c r="E29" i="30" s="1"/>
  <c r="L6" i="28" s="1"/>
  <c r="C141" i="30"/>
  <c r="K14" i="28" s="1"/>
  <c r="E133" i="30"/>
  <c r="E141" i="30" s="1"/>
  <c r="L14" i="28" s="1"/>
  <c r="E77" i="30"/>
  <c r="E85" i="30" s="1"/>
  <c r="L10" i="28" s="1"/>
  <c r="C85" i="30"/>
  <c r="K10" i="28" s="1"/>
  <c r="C211" i="30"/>
  <c r="K19" i="28" s="1"/>
  <c r="E203" i="30"/>
  <c r="E211" i="30" s="1"/>
  <c r="L19" i="28" s="1"/>
  <c r="E217" i="30"/>
  <c r="E225" i="30" s="1"/>
  <c r="L20" i="28" s="1"/>
  <c r="G19" i="22" s="1"/>
  <c r="C225" i="30"/>
  <c r="K20" i="28" s="1"/>
  <c r="F19" i="22" s="1"/>
  <c r="C263" i="30"/>
  <c r="C155" i="30"/>
  <c r="K15" i="28" s="1"/>
  <c r="E147" i="30"/>
  <c r="E155" i="30" s="1"/>
  <c r="L15" i="28" s="1"/>
  <c r="J19" i="22" l="1"/>
  <c r="C260" i="30"/>
  <c r="E260" i="30" s="1"/>
  <c r="C262" i="30"/>
  <c r="E262" i="30" s="1"/>
  <c r="C261" i="30"/>
  <c r="E261" i="30" s="1"/>
  <c r="C265" i="30"/>
  <c r="E265" i="30" s="1"/>
  <c r="D22" i="22"/>
  <c r="E22" i="22"/>
  <c r="D25" i="28" l="1"/>
  <c r="C8" i="28"/>
  <c r="D7" i="22" s="1"/>
  <c r="C11" i="28"/>
  <c r="D13" i="28"/>
  <c r="E12" i="22" s="1"/>
  <c r="E25" i="28"/>
  <c r="B144" i="30"/>
  <c r="D15" i="28"/>
  <c r="E14" i="22" s="1"/>
  <c r="C15" i="28"/>
  <c r="D14" i="28"/>
  <c r="E13" i="22" s="1"/>
  <c r="C14" i="28"/>
  <c r="C13" i="28"/>
  <c r="D12" i="28"/>
  <c r="E11" i="22" s="1"/>
  <c r="C12" i="28"/>
  <c r="B18" i="30"/>
  <c r="C25" i="28"/>
  <c r="D11" i="28"/>
  <c r="E10" i="22" s="1"/>
  <c r="D10" i="28"/>
  <c r="E9" i="22" s="1"/>
  <c r="C10" i="28"/>
  <c r="D9" i="28"/>
  <c r="E8" i="22" s="1"/>
  <c r="C9" i="28"/>
  <c r="D8" i="22" s="1"/>
  <c r="D8" i="28"/>
  <c r="E7" i="22" s="1"/>
  <c r="D7" i="28"/>
  <c r="E6" i="22" s="1"/>
  <c r="C7" i="28"/>
  <c r="D6" i="22" s="1"/>
  <c r="C6" i="28"/>
  <c r="D5" i="22" s="1"/>
  <c r="D6" i="28"/>
  <c r="E5" i="22" s="1"/>
  <c r="F22" i="22"/>
  <c r="G22" i="22"/>
  <c r="B12" i="22"/>
  <c r="B116" i="30" s="1"/>
  <c r="B13" i="22"/>
  <c r="B130" i="30" s="1"/>
  <c r="B14" i="22"/>
  <c r="B15" i="22"/>
  <c r="B16" i="22"/>
  <c r="B17" i="22"/>
  <c r="B18" i="22"/>
  <c r="B19" i="22"/>
  <c r="B20" i="22"/>
  <c r="B21" i="22"/>
  <c r="B22" i="22"/>
  <c r="B5" i="22"/>
  <c r="B6" i="22"/>
  <c r="B7" i="22"/>
  <c r="B8" i="22"/>
  <c r="B9" i="22"/>
  <c r="B10" i="22"/>
  <c r="B88" i="30" s="1"/>
  <c r="B11" i="22"/>
  <c r="B102" i="30" s="1"/>
  <c r="B4" i="22"/>
  <c r="B186" i="30" l="1"/>
  <c r="B228" i="30"/>
  <c r="B200" i="30"/>
  <c r="B214" i="30"/>
  <c r="B172" i="30"/>
  <c r="B242" i="30"/>
  <c r="B158" i="30"/>
  <c r="D12" i="22"/>
  <c r="G13" i="28"/>
  <c r="D9" i="22"/>
  <c r="G10" i="28"/>
  <c r="G15" i="28"/>
  <c r="D14" i="22"/>
  <c r="G12" i="28"/>
  <c r="D11" i="22"/>
  <c r="C17" i="28"/>
  <c r="C20" i="28"/>
  <c r="C16" i="28"/>
  <c r="C21" i="28"/>
  <c r="C19" i="28"/>
  <c r="C22" i="28"/>
  <c r="D23" i="22"/>
  <c r="C18" i="28"/>
  <c r="D13" i="22"/>
  <c r="G14" i="28"/>
  <c r="D10" i="22"/>
  <c r="G11" i="28"/>
  <c r="D16" i="28"/>
  <c r="E15" i="22" s="1"/>
  <c r="D17" i="28"/>
  <c r="E16" i="22" s="1"/>
  <c r="D18" i="28"/>
  <c r="E17" i="22" s="1"/>
  <c r="D19" i="28"/>
  <c r="E18" i="22" s="1"/>
  <c r="D22" i="28"/>
  <c r="E21" i="22" s="1"/>
  <c r="D20" i="28"/>
  <c r="E19" i="22" s="1"/>
  <c r="D21" i="28"/>
  <c r="E20" i="22" s="1"/>
  <c r="D15" i="22" l="1"/>
  <c r="G16" i="28"/>
  <c r="G18" i="28"/>
  <c r="D17" i="22"/>
  <c r="D19" i="22"/>
  <c r="G20" i="28"/>
  <c r="D16" i="22"/>
  <c r="G17" i="28"/>
  <c r="D21" i="22"/>
  <c r="G22" i="28"/>
  <c r="D18" i="22"/>
  <c r="G19" i="28"/>
  <c r="D20" i="22"/>
  <c r="G21" i="28"/>
  <c r="H22" i="28" l="1"/>
  <c r="H16" i="28"/>
  <c r="H17" i="28"/>
  <c r="H19" i="28"/>
  <c r="H18" i="28"/>
  <c r="H20" i="28"/>
  <c r="C161" i="30" l="1"/>
  <c r="C245" i="30"/>
  <c r="C231" i="30"/>
  <c r="C175" i="30"/>
  <c r="H21" i="28"/>
  <c r="C183" i="30" l="1"/>
  <c r="K17" i="28" s="1"/>
  <c r="E175" i="30"/>
  <c r="E183" i="30" s="1"/>
  <c r="L17" i="28" s="1"/>
  <c r="C253" i="30"/>
  <c r="K22" i="28" s="1"/>
  <c r="E245" i="30"/>
  <c r="E253" i="30" s="1"/>
  <c r="L22" i="28" s="1"/>
  <c r="E231" i="30"/>
  <c r="E239" i="30" s="1"/>
  <c r="L21" i="28" s="1"/>
  <c r="G20" i="22" s="1"/>
  <c r="C239" i="30"/>
  <c r="K21" i="28" s="1"/>
  <c r="F20" i="22" s="1"/>
  <c r="C169" i="30"/>
  <c r="K16" i="28" s="1"/>
  <c r="E161" i="30"/>
  <c r="E169" i="30" s="1"/>
  <c r="L16" i="28" s="1"/>
  <c r="J20" i="22" l="1"/>
  <c r="C259" i="30"/>
  <c r="E259" i="30" l="1"/>
  <c r="E267" i="30" s="1"/>
  <c r="C267" i="30"/>
  <c r="G18" i="22" l="1"/>
  <c r="F18" i="22"/>
  <c r="B256" i="30"/>
  <c r="B74" i="30"/>
  <c r="B60" i="30"/>
  <c r="B46" i="30"/>
  <c r="B32" i="30"/>
  <c r="B4" i="30"/>
  <c r="C26" i="18"/>
  <c r="E23" i="22"/>
  <c r="D5" i="28"/>
  <c r="E4" i="22" s="1"/>
  <c r="C5" i="28"/>
  <c r="P5" i="22"/>
  <c r="P22" i="22"/>
  <c r="C24" i="18"/>
  <c r="C20" i="18"/>
  <c r="C19" i="18"/>
  <c r="C17" i="18"/>
  <c r="P6" i="22"/>
  <c r="P7" i="22"/>
  <c r="P8" i="22"/>
  <c r="P9" i="22"/>
  <c r="P10" i="22"/>
  <c r="P12" i="22"/>
  <c r="P15" i="22"/>
  <c r="P18" i="22"/>
  <c r="P21" i="22"/>
  <c r="J18" i="22" l="1"/>
  <c r="C18" i="18"/>
  <c r="D4" i="22"/>
  <c r="M4" i="22" s="1"/>
  <c r="G5" i="28"/>
  <c r="H5" i="28" s="1"/>
  <c r="C22" i="18"/>
  <c r="C25" i="18"/>
  <c r="C21" i="18"/>
  <c r="C23" i="18"/>
  <c r="P16" i="22"/>
  <c r="G6" i="28"/>
  <c r="G7" i="28"/>
  <c r="H10" i="28"/>
  <c r="G9" i="28"/>
  <c r="G8" i="28"/>
  <c r="P4" i="22"/>
  <c r="M18" i="22"/>
  <c r="C14" i="1"/>
  <c r="P17" i="22"/>
  <c r="P13" i="22"/>
  <c r="P14" i="22"/>
  <c r="P11" i="22"/>
  <c r="M8" i="22" l="1"/>
  <c r="M6" i="22"/>
  <c r="N6" i="22" s="1"/>
  <c r="F10" i="22"/>
  <c r="F8" i="22"/>
  <c r="F6" i="22"/>
  <c r="F7" i="22"/>
  <c r="F14" i="22"/>
  <c r="F16" i="22"/>
  <c r="F13" i="22"/>
  <c r="N4" i="22"/>
  <c r="N8" i="22"/>
  <c r="H15" i="28"/>
  <c r="H13" i="28"/>
  <c r="H6" i="28"/>
  <c r="H14" i="28"/>
  <c r="H12" i="28"/>
  <c r="H9" i="28"/>
  <c r="M5" i="22"/>
  <c r="N5" i="22" s="1"/>
  <c r="H8" i="28"/>
  <c r="H7" i="28"/>
  <c r="M10" i="22"/>
  <c r="M22" i="22"/>
  <c r="N22" i="22" s="1"/>
  <c r="M21" i="22"/>
  <c r="M9" i="22"/>
  <c r="M7" i="22"/>
  <c r="M11" i="22"/>
  <c r="E14" i="30" l="1"/>
  <c r="E15" i="30" s="1"/>
  <c r="L5" i="28" s="1"/>
  <c r="G4" i="22" s="1"/>
  <c r="P10" i="33" s="1"/>
  <c r="Q10" i="33" s="1"/>
  <c r="F4" i="22"/>
  <c r="H11" i="28"/>
  <c r="M12" i="22"/>
  <c r="N12" i="22" s="1"/>
  <c r="N18" i="22"/>
  <c r="G16" i="22"/>
  <c r="G7" i="22"/>
  <c r="G10" i="22"/>
  <c r="G6" i="22"/>
  <c r="Q11" i="33" s="1"/>
  <c r="G14" i="22"/>
  <c r="G5" i="22"/>
  <c r="J5" i="22" s="1"/>
  <c r="F11" i="22"/>
  <c r="F5" i="22"/>
  <c r="G12" i="22"/>
  <c r="J12" i="22" s="1"/>
  <c r="F12" i="22"/>
  <c r="G9" i="22"/>
  <c r="G8" i="22"/>
  <c r="J8" i="22" s="1"/>
  <c r="G11" i="22"/>
  <c r="F9" i="22"/>
  <c r="G13" i="22"/>
  <c r="F15" i="22"/>
  <c r="G15" i="22"/>
  <c r="F17" i="22"/>
  <c r="G17" i="22"/>
  <c r="N10" i="22"/>
  <c r="N21" i="22"/>
  <c r="L25" i="28"/>
  <c r="K25" i="28"/>
  <c r="N9" i="22"/>
  <c r="N7" i="22"/>
  <c r="M13" i="22"/>
  <c r="M16" i="22"/>
  <c r="M15" i="22"/>
  <c r="N11" i="22"/>
  <c r="M17" i="22"/>
  <c r="M14" i="22"/>
  <c r="I4" i="22" l="1"/>
  <c r="J7" i="22"/>
  <c r="J11" i="22"/>
  <c r="J6" i="22"/>
  <c r="J10" i="22"/>
  <c r="J13" i="22"/>
  <c r="J9" i="22"/>
  <c r="J14" i="22"/>
  <c r="J17" i="22"/>
  <c r="J15" i="22"/>
  <c r="J16" i="22"/>
  <c r="F23" i="22"/>
  <c r="F21" i="22"/>
  <c r="G23" i="22"/>
  <c r="G21" i="22"/>
  <c r="N15" i="22"/>
  <c r="N14" i="22"/>
  <c r="N16" i="22"/>
  <c r="N17" i="22"/>
  <c r="N13" i="22"/>
  <c r="J4" i="22" l="1"/>
  <c r="J21"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Kevin Alexander Luna Arellano</author>
  </authors>
  <commentList>
    <comment ref="D11" authorId="0" shapeId="0" xr:uid="{00000000-0006-0000-0600-000001000000}">
      <text>
        <r>
          <rPr>
            <b/>
            <sz val="10"/>
            <color indexed="81"/>
            <rFont val="Tahoma"/>
            <family val="2"/>
          </rPr>
          <t>Kevin Alexander Luna Arellano:</t>
        </r>
        <r>
          <rPr>
            <sz val="10"/>
            <color indexed="81"/>
            <rFont val="Tahoma"/>
            <family val="2"/>
          </rPr>
          <t xml:space="preserve">
MEMORANDUMS DEL INFORME PRELIMINAR AI/019/2015 DE ORINOCA (NO DEL AMPLIATORIO)</t>
        </r>
      </text>
    </comment>
    <comment ref="D12" authorId="0" shapeId="0" xr:uid="{00000000-0006-0000-0600-000002000000}">
      <text>
        <r>
          <rPr>
            <b/>
            <sz val="10"/>
            <color indexed="81"/>
            <rFont val="Tahoma"/>
            <family val="2"/>
          </rPr>
          <t>Kevin Alexander Luna Arellano:</t>
        </r>
        <r>
          <rPr>
            <sz val="10"/>
            <color indexed="81"/>
            <rFont val="Tahoma"/>
            <family val="2"/>
          </rPr>
          <t xml:space="preserve">
FALTA MEMORANDUM LIC. CRISTOBAL</t>
        </r>
      </text>
    </comment>
  </commentList>
</comments>
</file>

<file path=xl/sharedStrings.xml><?xml version="1.0" encoding="utf-8"?>
<sst xmlns="http://schemas.openxmlformats.org/spreadsheetml/2006/main" count="1353" uniqueCount="332">
  <si>
    <t>EJECUCION DE AUDITORIAS PROGRAMADAS</t>
  </si>
  <si>
    <t>N°</t>
  </si>
  <si>
    <t>Fecha de conclusión</t>
  </si>
  <si>
    <t>Nota</t>
  </si>
  <si>
    <t>Fecha</t>
  </si>
  <si>
    <t>AUDITORIAS ESPECIALES</t>
  </si>
  <si>
    <t>SEGUIMIENTO A RECOMENDACIONES</t>
  </si>
  <si>
    <t>Días Auditor</t>
  </si>
  <si>
    <t>Situación del examen</t>
  </si>
  <si>
    <t>Anexo 1</t>
  </si>
  <si>
    <t>Nº de Informe</t>
  </si>
  <si>
    <t>UNIDAD DE AUDTORIA INTERNA</t>
  </si>
  <si>
    <t>POA</t>
  </si>
  <si>
    <t>REAL</t>
  </si>
  <si>
    <t>%</t>
  </si>
  <si>
    <t>Calificación</t>
  </si>
  <si>
    <t>TIEMPO</t>
  </si>
  <si>
    <t>COSTO</t>
  </si>
  <si>
    <t>ACTIVIDADES</t>
  </si>
  <si>
    <t>Ejecutado</t>
  </si>
  <si>
    <t>EXAMEN SOBRE LA CONFIABILIDAD DE LOS REGISTROS Y ESTADOS FINANCIEROS</t>
  </si>
  <si>
    <t>Nº</t>
  </si>
  <si>
    <t>FONDO NACIONAL DE INVERSION PRODUCTIVA Y SOCIAL</t>
  </si>
  <si>
    <t xml:space="preserve">(*) </t>
  </si>
  <si>
    <t xml:space="preserve">(**) </t>
  </si>
  <si>
    <t>(*)</t>
  </si>
  <si>
    <t>AUDITOR 1</t>
  </si>
  <si>
    <t>AUDITOR 2</t>
  </si>
  <si>
    <t>AUDITOR 3</t>
  </si>
  <si>
    <t>AUDITOR TECNICO 1</t>
  </si>
  <si>
    <t>CONCEPTO</t>
  </si>
  <si>
    <t>DIAS</t>
  </si>
  <si>
    <t>DIARIO</t>
  </si>
  <si>
    <t>TOTAL</t>
  </si>
  <si>
    <t>TOTALES</t>
  </si>
  <si>
    <t>VIATICOS Y PASAJES</t>
  </si>
  <si>
    <t>COSTO REAL DE CADA AUDITORIA PROGRAMADA</t>
  </si>
  <si>
    <t>auditoria 
programada</t>
  </si>
  <si>
    <t>objetivo</t>
  </si>
  <si>
    <t>CUADRO Nº 12</t>
  </si>
  <si>
    <t>CARGO</t>
  </si>
  <si>
    <t>PASAJES</t>
  </si>
  <si>
    <t>VIATICOS</t>
  </si>
  <si>
    <t>CANTIDAD</t>
  </si>
  <si>
    <t>VALOR</t>
  </si>
  <si>
    <t>Nº DIAS</t>
  </si>
  <si>
    <t>CALCULO DE VIÁTICOS Y PASAJES - PROGRAMADO</t>
  </si>
  <si>
    <t xml:space="preserve">AUDITORIA </t>
  </si>
  <si>
    <t xml:space="preserve">DIAS </t>
  </si>
  <si>
    <t>TOTAL SEGUIMIENTO (5)</t>
  </si>
  <si>
    <t>TOTAL SEGUIMIENTOS</t>
  </si>
  <si>
    <t>RECOMENDACIONES</t>
  </si>
  <si>
    <t>PRUEBA DE RELACION POA ANEXO 3</t>
  </si>
  <si>
    <t>DETALLE</t>
  </si>
  <si>
    <t>TITULAR</t>
  </si>
  <si>
    <t>NOMBRE EN MAYUSCULAS</t>
  </si>
  <si>
    <t xml:space="preserve">POA </t>
  </si>
  <si>
    <t>AUDITOR TECNICO 2</t>
  </si>
  <si>
    <t>AUDITOR Jr</t>
  </si>
  <si>
    <t>AUDITORIAS SAYCO</t>
  </si>
  <si>
    <t>AUDITORIAS OPERATIVAS</t>
  </si>
  <si>
    <t>JEFE</t>
  </si>
  <si>
    <t>El cumplimiento de la implantación de las recomendaciones aceptadas sobre 7 informes de auditoría</t>
  </si>
  <si>
    <t>Expresar una opinión independiente sobre el cumplimiento del ordenamiento jurídico administrativo y otras normas legales aplicables, y obligaciones contractuales, sobre el Cumplimiento de Plazo en la Construcción Sistema de Agua Potable Sacabamba Alto (Sacabamba)</t>
  </si>
  <si>
    <t>Expresar una opinión independiente sobre el cumplimiento del ordenamiento jurídico administrativo y otras normas legales aplicables, y obligaciones contractuales, sobre el Cumplimiento de Plazo en la Construcción Sistema de Agua Potable Cesarzama D-3 (Chimore)</t>
  </si>
  <si>
    <t xml:space="preserve">Expresar una opinión independiente sobre el cumplimiento del ordenamiento jurídico administrativo y otras normas legales aplicables, y obligaciones contractuales, sobre el Cumplimiento del Procedimiento de Control de la Declaración Jurada de Bienes y Rentas </t>
  </si>
  <si>
    <t xml:space="preserve">Expresar una opinión independiente sobre el cumplimiento del ordenamiento jurídico administrativo y otras normas legales aplicables, y obligaciones contractuales, sobre la compra del Inmueble para la Departamental Tarija </t>
  </si>
  <si>
    <t>Determinar  la eficacia del Sistema de Programación de Operaciones</t>
  </si>
  <si>
    <t>Emitir una opinión sobre la confiabilidad de los registros y estados financieros de la entidad</t>
  </si>
  <si>
    <t>Remisión a la CGE</t>
  </si>
  <si>
    <t>De acuerdo al último párrafo del articulo 2º de la Resolcuión CGE 084, los informes de seguimiento no son remitidos a la Contraloria General del Estado.</t>
  </si>
  <si>
    <t>POA DE LA GESTION 2016</t>
  </si>
  <si>
    <t>Determinar la eficacia y los instrumentos de control interno incorporados en el Sistema de Presupuestos</t>
  </si>
  <si>
    <t>AUDITOR JUNIOR</t>
  </si>
  <si>
    <t>AUDITORIAS NO PROGRAMADAS</t>
  </si>
  <si>
    <t>Expresar una opinión independiente sobre el cumplimiento del ordenamiento jurídico administrativo y otras normas legales aplicables, y obligaciones contractuales, sobre el Cumplimiento de Plazo en la Ampliación del Sistema de Microriego Challaque (Sacabamba), Contrato Nº CBB – 139 – 2011 de 13 de junio de 2011</t>
  </si>
  <si>
    <t>Expresar una opinión independiente sobre el cumplimiento del ordenamiento jurídico administrativo y otras normas legales aplicables, y obligaciones contractuales, sobre el Cumplimiento de Plazo en la Construcción del Sistema de Microriego Vila Vila (Arque), Contrato Nº CBB – 065 – 2011 de 26 de mayo de 2011</t>
  </si>
  <si>
    <t>Expresar una opinión independiente sobre el cumplimiento del ordenamiento jurídico administrativo y otras normas legales aplicables, y obligaciones contractuales, sobre el Cumplimiento de Plazo en la Construcción del Sistema de Agua Potable Tholopampa y Construcción de Sistema de Microriego Ancolani (Colquiri), Contrato S/N de 29 de agosto de 2011</t>
  </si>
  <si>
    <t>Expresar una opinión independiente sobre el cumplimiento del ordenamiento jurídico administrativo y otras normas legales aplicables, y obligaciones contractuales, sobre el Cumplimiento de Plazo en la Construcción del Sistema de Agua Potable Santa Rosa de Vigo (Puerto Siles), Contrato Nº GD BNI 043/2013 de 05 de febrero de 2013</t>
  </si>
  <si>
    <t>AUDITORIA DE CONFIABILIDAD DE LOS REGISTROS Y ESTADOS FINANCIEROS AL 31 DE DICIEMBRE DE 2015</t>
  </si>
  <si>
    <t>AUDITOR TECNICO  2 (Santa Cruz)</t>
  </si>
  <si>
    <t>AUDITOR TECNICO 2 (Cochabamba)</t>
  </si>
  <si>
    <t>AUDITOR TECNICO 1 (Tarija)</t>
  </si>
  <si>
    <t>AUDITOR TECNICO  2 (Potosí)</t>
  </si>
  <si>
    <t>AUDITOR TECNICO 1 (Sucre)</t>
  </si>
  <si>
    <t>AUDITOR TECNICO 1  (Oruro)</t>
  </si>
  <si>
    <t>AUDITOR TECNICO 1 (Beni)</t>
  </si>
  <si>
    <t>AUDITOR TECNICO 2  (Pando)</t>
  </si>
  <si>
    <t>AUDITOR TECNICO 1 (La Paz)</t>
  </si>
  <si>
    <t>Concluido</t>
  </si>
  <si>
    <t>En Proceso</t>
  </si>
  <si>
    <t>No Ejecutado</t>
  </si>
  <si>
    <t>Se emitieron los informes preliminares y no asi los complementarios</t>
  </si>
  <si>
    <t>AUDITOR TÉCNICO 2</t>
  </si>
  <si>
    <t>AUDITOR TÉCNICO 1</t>
  </si>
  <si>
    <t>PROGRAMADO</t>
  </si>
  <si>
    <t>(***)</t>
  </si>
  <si>
    <t>Remitido a la Contraloria General del Estado el 01 de julio de 2016</t>
  </si>
  <si>
    <t>Auditoria sobre la Confiabilidad a los Registros Estados y Financieros al 31 de diciembre de 2016</t>
  </si>
  <si>
    <t>AI/002/2017
AI/003/2017</t>
  </si>
  <si>
    <t>FPS-DGE Nº 032/2017</t>
  </si>
  <si>
    <t>1er. Seguimiento al Informe Nº AI/003/2016 de Control Interno sobre Examen de Confiabilidad de los Registros y Estados Financieros del Fondo Nacional de Inversión Productiva y Social al 31/12/2015</t>
  </si>
  <si>
    <t xml:space="preserve">AI/004/2017
</t>
  </si>
  <si>
    <t xml:space="preserve">10/04/2017
</t>
  </si>
  <si>
    <t>FPS-DGE-AI/038/2017</t>
  </si>
  <si>
    <t>Seguimiento al Informe de Control Interno sobre Examen de Confiabilidad de los Registros y Estados Financieros del Fondo Nacional de Inversión Productiva y Social - Gestiones 2012, 2013 y 2014</t>
  </si>
  <si>
    <t>Seguimiento al Informe de Control Interno sobre Examen de Confiabilidad de los Registros y Estados Financieros del Fondo Nacional de Inversión Productiva y Social - Gestiones 2013 y 2015</t>
  </si>
  <si>
    <t>2do. Seguimiento al Informe de Control Interno sobre Examen de Confiabilidad de los Registros y Estados Financieros del Fondo Nacional de Inversión Productiva y Social - FPS al 31-12 2013</t>
  </si>
  <si>
    <t>VERIFICACIONES Y REVISIONES</t>
  </si>
  <si>
    <t>Verificación sobre el Grado de Cumplimiento del objetivo de Gestión Institucional de Mayor Ponderación, declarado por la Máxima Autoridad Ejecutiva del FPS - Gestión 2016.</t>
  </si>
  <si>
    <t xml:space="preserve">AI/005/2017
</t>
  </si>
  <si>
    <t>FPS-DGE Nº 050/2017</t>
  </si>
  <si>
    <t>Evaluación del Sistema de Programación de Operaciones al 30 de junio de 2017</t>
  </si>
  <si>
    <t>Evaluación del Sistema de Presupuestos al 30 de junio de 2017</t>
  </si>
  <si>
    <t>AI/036/2016</t>
  </si>
  <si>
    <t>FPS-DGE-AI/043/2017</t>
  </si>
  <si>
    <t xml:space="preserve">Auditoria Especial - Informe Complementario al Informe Preliminar AI-005/10 RC (C2) Construcción Sistema de Agua Potable Toropalca (Cotagaita), por la empresa Constructora TÉCNICOS CONSTRUCTORES S.R.L. </t>
  </si>
  <si>
    <t>Auditoria Especial sobre la Revisión Anual al Cumplimiento del Procedimiento para el cumplimiento Oportuno de la Declaración Jurada de Bienes y Rentas (PCO-DJBR)</t>
  </si>
  <si>
    <t>Seguimiento al Informe Nº AI/003/2017 de Control Interno sobre Examen de Confiabilidad de los Registros y Estados Financieros del Fondo Nacional de Inversión Productiva y Social al 31/12/2016</t>
  </si>
  <si>
    <t>RELEVAMIENTOS</t>
  </si>
  <si>
    <t>Relevamiento de información específica sobre la formulación del Plan Estratégico Institucional en el marco de lo establecido en la Ley Nº 777 y disposiciones reglamentarias.</t>
  </si>
  <si>
    <t xml:space="preserve">19/06/2017
</t>
  </si>
  <si>
    <t>FPS-DGE-AI/047/2017</t>
  </si>
  <si>
    <t>Relevamiento de Información al  Pago de la Planilla (Final) - Proyecto Construcción Sistema Microriego Cuchu Soico – Bentanzos – Dpto. de Potosi</t>
  </si>
  <si>
    <t xml:space="preserve">AI/INF-REL-002/2017
</t>
  </si>
  <si>
    <t xml:space="preserve">AI/INF-REL-004/2017
</t>
  </si>
  <si>
    <t>Relevamiento de Información Específica sobre la Implementación del Procedimiento para el Control Y Conciliación de los Datos Liquidados en las Planillas Salariales y los Registros Individuales de cada Servidor Público</t>
  </si>
  <si>
    <t xml:space="preserve">AI/INF-REL-005/2017
</t>
  </si>
  <si>
    <t>FPS-DGE-AI/052/2017</t>
  </si>
  <si>
    <t>Relevamiento de información al cobro en demasía (Sobre planillado) y multas por incumplimiento de Ctto. - Proyecto Sist. Agua Potable de Comunidades 15 de mayo, 15 de agosto Orquideas y San Silvestre - Puerto Suárez</t>
  </si>
  <si>
    <t xml:space="preserve"> -.-</t>
  </si>
  <si>
    <t>Relevamiento de Información para Auditoria Especial al Proceso de  Contratación Cumplimiento de contrato de los Lotes Nrs. 6, 7, 8 y 9 del Proyecto  Expansión de Acceso para reducir inequidades en Salud (APL III), adjudicado a la EMPRESA MAQUIMED IMPORT &amp; EXPORT</t>
  </si>
  <si>
    <t xml:space="preserve">AI/INF-REL-001/2017
</t>
  </si>
  <si>
    <t xml:space="preserve">31/03/2017
</t>
  </si>
  <si>
    <t>Relevamiento de Información - Proyecto Casa Grande del Pueblo - Empresa Bluenet</t>
  </si>
  <si>
    <r>
      <t xml:space="preserve">Informe Complementario Nº </t>
    </r>
    <r>
      <rPr>
        <sz val="11"/>
        <color rgb="FF000000"/>
        <rFont val="Calibri"/>
        <family val="2"/>
      </rPr>
      <t>AI-016/15</t>
    </r>
    <r>
      <rPr>
        <sz val="11"/>
        <rFont val="Calibri"/>
        <family val="2"/>
      </rPr>
      <t xml:space="preserve"> al Informe Preliminar Nº AI/011/10 RC (C1) “Auditoria Especial – Proyecto Construcción Laboratorio de Parasitología y Entomología INLASA LA PAZ” (Indicios De Responsabilidad Civil)</t>
    </r>
  </si>
  <si>
    <t>Auditoria Especial – Informe Nº AI-002/16 - Construcción Del Museo De La Revolución Democrática Y Cultural Orinoca – Oruro (Bloque Quirquincho), por La Empresa Constructora y Consultora Alfa Gamma (Indicios De Responsabilidad Civil)</t>
  </si>
  <si>
    <t>DIAS EFECTI</t>
  </si>
  <si>
    <t>VOS</t>
  </si>
  <si>
    <t>FECHAS</t>
  </si>
  <si>
    <t>INICIAL</t>
  </si>
  <si>
    <t>FINAL</t>
  </si>
  <si>
    <t>CONFIABILIDAD</t>
  </si>
  <si>
    <t>Verificaciones y Revisiones</t>
  </si>
  <si>
    <t xml:space="preserve">Revisión Anual al Cumplimiento del procedimiento de Control de la Declaración Jurada de Bienes y Rentas. </t>
  </si>
  <si>
    <t xml:space="preserve">Auditorias Especiales </t>
  </si>
  <si>
    <t>Auditoria Especial al Cumplimiento de Plazo en la  Construcción del Sistema de Microriego Rodeo Coque (Malla)</t>
  </si>
  <si>
    <t>Auditoria Especial al Cumplimiento de Plazo en la Perforación de Pozo y Red Piletas Publicas TCO Villa Delmira" Puerto Siles</t>
  </si>
  <si>
    <t>Auditoria Especial al Cumplimiento de Plazo en la Construcción del Sistema de Microriego  Huancanipampa, Tariquia y Mollo Ayata</t>
  </si>
  <si>
    <t>Relevamientos</t>
  </si>
  <si>
    <t xml:space="preserve">Relevamiento de Información General – Al Proceso de Seguimiento de Ejecución de Proyectos  </t>
  </si>
  <si>
    <t>Relevamiento de Información sobre la Auditabilidad cumplimiento de plazo en la Construcción Sistema de Agua Potable Ayllu Copacati y Construcción Microriego Patatoconta (CHARAÑA)</t>
  </si>
  <si>
    <t>Relevamiento de Información sobre la Auditabilidad cumplimiento de plazo en la Construcción Sistema De Riego Menor Chijmuni (SICA SICA)</t>
  </si>
  <si>
    <t>Relevamiento de Información sobre la Auditabilidad cumplimiento de plazo en la Construcción Sistema Microriego Apillapa Bajo (SACABAMBA)</t>
  </si>
  <si>
    <t>Relevamiento de Información sobre la Auditabilidad cumplimiento de plazo en la Construcción Sistema De Agua Potable Miraflores (SANTA ANA)</t>
  </si>
  <si>
    <t>Relevamiento de Información sobre la Auditabilidad cumplimiento de plazo en el  Mejoramiento Camino Vecinal Cruce Tres Estrellas - Puesto Militar Tres Estrellas (BOLPEDRA)</t>
  </si>
  <si>
    <t>Relevamiento de Información sobre la Auditabilidad cumplimiento de plazo en la  Construcción Del Sistema De Agua Potable Blanca Flor (SAN LORENZO)</t>
  </si>
  <si>
    <t>Relevamiento de Información sobre la Auditabilidad cumplimiento de plazo en la  Construcción Sistema Agua Potable Frontera (PTO. GONZALO MORENO), Construcción Sistema De Agua Potable Buen Futuro (PTO. GONZALO MORENO), Construcción Sistema Agua Potable Contravaricia (PTO. GONZALO MORENO)</t>
  </si>
  <si>
    <t>Relevamiento de Información sobre la Auditabilidad cumplimiento de plazo en la Construcción del Sistema de Riego Chojahuaya (PALCA)</t>
  </si>
  <si>
    <t>Relevamiento de Información sobre la Auditabilidad cumplimiento de plazo en la Construcción del Sistema de Agua Potable Santa Fe Amboro (PORONGO)</t>
  </si>
  <si>
    <t>Seguimientos</t>
  </si>
  <si>
    <t xml:space="preserve"> No Programadas</t>
  </si>
  <si>
    <t>POA DE LA GESTION 2017</t>
  </si>
  <si>
    <r>
      <t xml:space="preserve">Informe Complementario Nº </t>
    </r>
    <r>
      <rPr>
        <sz val="9"/>
        <color rgb="FF000000"/>
        <rFont val="Tahoma"/>
        <family val="2"/>
      </rPr>
      <t>AI-016/15</t>
    </r>
    <r>
      <rPr>
        <sz val="9"/>
        <rFont val="Tahoma"/>
        <family val="2"/>
      </rPr>
      <t xml:space="preserve"> al Informe Preliminar Nº AI/011/10 RC (C1) “Auditoria Especial – Proyecto Construcción Laboratorio de Parasitología y Entomología INLASA LA PAZ” (Indicios De Responsabilidad Civil)</t>
    </r>
  </si>
  <si>
    <t xml:space="preserve">Seguimiento a la Evaluación del Sistema de Programación de Operaciones </t>
  </si>
  <si>
    <t>Seguimiento a la Evaluación del Sistema de Presupuestos.</t>
  </si>
  <si>
    <t>2do. Seguimiento al Informe Nº AI-002/2015 de Control Interno sobre Examen de Confiabilidad de los Registros y Estados Financieros del Fondo Nacional de Inversión Productiva y Social - FPS al 31-12 2014 (21 Recomendaciones)</t>
  </si>
  <si>
    <t>AUDITORIAS Programadas</t>
  </si>
  <si>
    <t>Seguimientos No Programados</t>
  </si>
  <si>
    <t xml:space="preserve">29/06/2017
</t>
  </si>
  <si>
    <t xml:space="preserve">AI/INF-REL-003/2017
</t>
  </si>
  <si>
    <t>En proceso</t>
  </si>
  <si>
    <t>INSTRUCTIVO FPS-D.G.E. Nº 008/2017</t>
  </si>
  <si>
    <t>Cumplido</t>
  </si>
  <si>
    <t>NO PROGRAMADA</t>
  </si>
  <si>
    <t>Informe de Control Interno y Relevamiento de Información Específica sobre la Implementación del Procedimiento para el Control Y Conciliación de los Datos Liquidados en las Planillas Salariales y los Registros Individuales de cada Servidor Público</t>
  </si>
  <si>
    <t xml:space="preserve"> - . -</t>
  </si>
  <si>
    <t>*</t>
  </si>
  <si>
    <t>PORCENTAJE</t>
  </si>
  <si>
    <t>En Ejecución</t>
  </si>
  <si>
    <t>No Cumplido</t>
  </si>
  <si>
    <t>PORCENTAJE/TIEMPO</t>
  </si>
  <si>
    <t>PORCENTAJE/COSTO</t>
  </si>
  <si>
    <t>INFORME DE EVALUACION Nº CGE: 12/R078/O11 W2</t>
  </si>
  <si>
    <t>REAL x 100/POA</t>
  </si>
  <si>
    <t>REAL /POAx 100</t>
  </si>
  <si>
    <t>FORMULA: TIEMPO %</t>
  </si>
  <si>
    <t>FORMULA: COSTO %</t>
  </si>
  <si>
    <t>ESTIMACION DEL COSTO REAL Y  TIEMPO DE LA AUDITORIA PROGRAMADA</t>
  </si>
  <si>
    <t>Auditoria sobre la Confiabilidad a los Registros Estados y Financieros al 31 de diciembre de 2017</t>
  </si>
  <si>
    <t>Auditoria Especial sobre el procedimiento específico para el control  y conciliación de los datos liquidados en las planillas salariales y los registros individuales de cada servidor público, con alcance al 31 de diciembre de 2017</t>
  </si>
  <si>
    <t>Auditoria especial a procesos de resolución de contrato de infraestructura que presentan multas por mora de los programas Mi agua IV CAF, Mi riego CAF,  BID 2014-BL-BO Hospitales Potosí, PRONAREC II Mi riego BID y Mi agua III TGN</t>
  </si>
  <si>
    <t>Auditoria Especial cumplimiento de plazo en  el Proyecto Construcción Sistema de Agua Potable Ayllu Copacati y Construcción Microriego Patatoconta (Charaña)</t>
  </si>
  <si>
    <t>Auditoria Especial cumplimiento de plazo en  el Proyecto Construcción del Sistema de Agua Potable Blanca Flor (San Lorenzo)</t>
  </si>
  <si>
    <t>Auditoria especial cumplimiento de plazo en la  Construcción Sistema Agua Potable Frontera (PTO. GONZALO MORENO), Construcción Sistema De Agua Potable Buen Futuro (PTO. GONZALO MORENO), Construcción Sistema Agua Potable Contravaricia (PTO. GONZALO MORENO)</t>
  </si>
  <si>
    <t xml:space="preserve">Reformulación al Informed de Auditoria Interna Nº AI/010/2016 y AI/035/2016 - Examen Especial Cumplimiento de Plazo - Proy. Ampliación Sistema de Microriego Challaque (Sacabamba - Cochabamba), ejecutado por la Empresa Constructora Rumy Ñawy S. R. L. con Indicios de Responsabilidad Civil - </t>
  </si>
  <si>
    <t xml:space="preserve">Informe Evaluación CGE Nº I3/R013/E17 W1 </t>
  </si>
  <si>
    <t>Informe de Evaluación Nº CGE/SCCI-413/2017</t>
  </si>
  <si>
    <t>Informes de Auditoria Interna Nros.: AI/018/2015 y AI/026/2015 - Auditoria Especial Cumplimiento de Plazo en la Construcción del Proyectos Sistema de Agua Potable Cesarzama D-3 (Chimore), Departamento de Cochabamba, ejecutado por la Empresa Constructora Riego Edificación y Caminos S.R.L. (Indicios de Responsabilidad Civil) .</t>
  </si>
  <si>
    <r>
      <t xml:space="preserve">Reformulación Informes de Auditoría Interna Nº AI/007/2016 y AI/031/2016 - Contrato Admitivo,  Adquisición Equipo  Comunicación, suscrito con la Empresa Unipersonal WORK STATION PC, </t>
    </r>
    <r>
      <rPr>
        <sz val="10"/>
        <color rgb="FF000000"/>
        <rFont val="Tahoma"/>
        <family val="2"/>
      </rPr>
      <t>.</t>
    </r>
    <r>
      <rPr>
        <sz val="10"/>
        <color theme="1"/>
        <rFont val="Tahoma"/>
        <family val="2"/>
      </rPr>
      <t xml:space="preserve">  </t>
    </r>
  </si>
  <si>
    <t>Informe de Evaluación  Nº I3-RO23/E16 W1</t>
  </si>
  <si>
    <t>Informe de Evaluación  Nº I3/R026/F17 W1</t>
  </si>
  <si>
    <t xml:space="preserve">Informe de Evaluación  Nº I3/R004/E17 W1 </t>
  </si>
  <si>
    <t>Informe de Evaluación  Nº I3/R003/E17 W1</t>
  </si>
  <si>
    <t>Anexo 11</t>
  </si>
  <si>
    <t xml:space="preserve">"DETALLE DE AUDITORIA PROGRAMADAS E INDICADORES DE RENDIMIENTO </t>
  </si>
  <si>
    <t>Actividades</t>
  </si>
  <si>
    <t>Informe</t>
  </si>
  <si>
    <t>Revisiones</t>
  </si>
  <si>
    <t>Revisión Anual al Cumplimiento del procedimiento de Control de la Declaración Jurada de Bienes y Rentas.</t>
  </si>
  <si>
    <t>Auditorias Especiales</t>
  </si>
  <si>
    <t>Auditoria Especial cumplimiento de plazo en el Proyecto "Construcción Sistema de Agua Potable Conchupata, Machacamarca, Ñiñihuaty, Cancarani y Sistema de Riego Yunca - Pacharia (Quiabaya)"</t>
  </si>
  <si>
    <t>Auditoria Especial Construcción del museo de la Revolución Democrática y Cultural Orinoca – Oruro – Bloque Quirquincho, por la Empresa Constructora y Consultora Alfa Gamma.</t>
  </si>
  <si>
    <t>Auditoria especial cumplimiento de plazo, ampliación de plazo y pago de ítems del Proyecto refacción Escuela Superior de Formación de Maestros Rafael  Chávez Ortiz” (Portachuelo)</t>
  </si>
  <si>
    <t>Relevamiento de Información sobre la auditabilidad Sistema de Agua Potable Alcoche (Caranavi)</t>
  </si>
  <si>
    <t>Relevamiento de información específica sobre el cumplimiento de plazo del proyecto “Construcción Sistema de Agua Potable Ayllu Siqui – Charaña – Departamento de La Paz”.</t>
  </si>
  <si>
    <t>Relevamiento de información específica sobre el Proyecto “Construcción Sistema de Riego Muyurina Departamento de Santa Cruz</t>
  </si>
  <si>
    <t>Relevamiento de información específica sobre los proyectos “Sistema de Agua Potable Comunidad Valle Hermoso, Puerto Avaroa y 5 de agosto (Yapacani), departamento de Santa Cruz”.</t>
  </si>
  <si>
    <t>Seguimiento al Informe Nº AI/002/2017 de Control Interno sobre Examen de Confiabilidad de los Registros y Estados Financieros del Fondo Nacional de Inversión Productiva y Social al 31/12/2016</t>
  </si>
  <si>
    <t xml:space="preserve">Segundo Seguimiento al Informe Nº AI/025/2016 correspondiente a la Auditoria Operacional del Sistema de Programación de Operaciones del FPS  </t>
  </si>
  <si>
    <t xml:space="preserve">Segundo Seguimiento al Informe Nº AI/038/2016 correspondiente a la Auditoria Operacional del Sistema de Presupuestos del FPS  </t>
  </si>
  <si>
    <t>AI-002/2018 Y AI-003/2018</t>
  </si>
  <si>
    <t>DGE-040/2018</t>
  </si>
  <si>
    <t xml:space="preserve">AI-006/2018 </t>
  </si>
  <si>
    <t>Tipos de Indicios de Responsabilidad</t>
  </si>
  <si>
    <t>Estado del Examen</t>
  </si>
  <si>
    <t>Indicador de Eficacia (Logro)</t>
  </si>
  <si>
    <t xml:space="preserve">DGE-AI-059/2018 </t>
  </si>
  <si>
    <t>AI-INF-REL-001/2018</t>
  </si>
  <si>
    <t xml:space="preserve">AI-004/2018 </t>
  </si>
  <si>
    <t>DGE-AI-040/2018</t>
  </si>
  <si>
    <t>(a)</t>
  </si>
  <si>
    <t>(b)</t>
  </si>
  <si>
    <t>(c)</t>
  </si>
  <si>
    <t>(d)</t>
  </si>
  <si>
    <t>(e)</t>
  </si>
  <si>
    <t>(f)</t>
  </si>
  <si>
    <t>SUPERVISOR</t>
  </si>
  <si>
    <t>CONFIABILIDAD 2017</t>
  </si>
  <si>
    <t>Programado (POA)</t>
  </si>
  <si>
    <t>Ejecutado (REAL)</t>
  </si>
  <si>
    <t>Indicador de Eficiencia (Tiempo)</t>
  </si>
  <si>
    <t>(g)</t>
  </si>
  <si>
    <t>(h)</t>
  </si>
  <si>
    <t>(i)</t>
  </si>
  <si>
    <t>(j)</t>
  </si>
  <si>
    <t>Civil</t>
  </si>
  <si>
    <t>Anexo Nº 12</t>
  </si>
  <si>
    <t>DETALLE DE ACTIVIDADES NO PROGRAMADAS</t>
  </si>
  <si>
    <t>Tiempo Ejecutado</t>
  </si>
  <si>
    <t>Solicitud del Examen</t>
  </si>
  <si>
    <t>I3/R001/E17 W1</t>
  </si>
  <si>
    <t>I3/R002/E17 W1</t>
  </si>
  <si>
    <t>I3/R014/E17 W1</t>
  </si>
  <si>
    <r>
      <rPr>
        <sz val="9"/>
        <color theme="1"/>
        <rFont val="Tahoma"/>
        <family val="2"/>
      </rPr>
      <t>Reformulación al </t>
    </r>
    <r>
      <rPr>
        <sz val="7"/>
        <color theme="1"/>
        <rFont val="Tahoma"/>
        <family val="2"/>
      </rPr>
      <t xml:space="preserve"> </t>
    </r>
    <r>
      <rPr>
        <sz val="10"/>
        <color theme="1"/>
        <rFont val="Tahoma"/>
        <family val="2"/>
      </rPr>
      <t xml:space="preserve">Informes de Auditoria Interna Nros.: AI/020/2015 y AI/027/2015 - Auditoria Especial Cumplimiento de Plazo en la Construcción del Sistema Microriego Quellumayu (Tarata), Departamento de Cochabamba, ejecutado por la Empresa Constructora ‘‘Villagómez’’ (Indicios de Responsabilidad Civil) </t>
    </r>
  </si>
  <si>
    <t>Penal</t>
  </si>
  <si>
    <t>AI/009/2016 (C1) - AI/022/2016  (C1)</t>
  </si>
  <si>
    <t>FPS-DGE-AI/051/2018</t>
  </si>
  <si>
    <t>Resultado de Evaluación  Informes de Auditoría Interna Cumplimiento de Plazo en la Ejecución del Nº AI/023/2015 Y AI/024/2016  - Proyecto Perforación Pozo y Red Piletas Públicas Mangalito Puerto Siles – Beni.</t>
  </si>
  <si>
    <t xml:space="preserve">Resultado de Evaluación  Informes de Auditoría interna  Nº AI/009/2016 Y AI/022/2016 - Cumplimiento de Plazo en la Ejecución del Proyecto “Perforación de Pozo y Red Piletas Públicas TCO Belencito (Puerto Siles) Beni”, Empresa Tovias Construcciones  </t>
  </si>
  <si>
    <t>AI/023/2015 (1) - AI/024/2016 (1)</t>
  </si>
  <si>
    <t>FPS-DGE-AI/053/2018</t>
  </si>
  <si>
    <t xml:space="preserve">Resultado de Evaluación  Informes de Auditoría Interna - Cumplimiento de PlazoAuditoria Especial - Informe Complementario al Informe Preliminar AI-005/10 RC (C2) Construcción Sistema de Agua Potable Toropalca (Cotagaita), por la empresa Constructora TÉCNICOS CONSTRUCTORES S.R.L. </t>
  </si>
  <si>
    <t>INFORME DE EVALUACION Nº CGE: 12/R091/N11 W2 - 2/R091/N 11 W3</t>
  </si>
  <si>
    <t>31/12/2015 - 28-02-2018</t>
  </si>
  <si>
    <r>
      <t xml:space="preserve">Reformulación Informes de Auditoria Interna Nros. </t>
    </r>
    <r>
      <rPr>
        <sz val="10"/>
        <rFont val="Tahoma"/>
        <family val="2"/>
      </rPr>
      <t>AI/006/2016 y AI/023/2016 Auditoria Especial del Proyecto Construcción Sistema de Agua Potable Lago Bolívar (Puerto Siles -Beni).</t>
    </r>
  </si>
  <si>
    <t>Resultado de Evaluación Informes de Auditoría interna Nº AI/019/2016 Y AI/034/2016 Cumplimiento de Plazo en la “Construcción del Sistema de Microriego Vila Vila (Arque) Cochabamba”, ejecutada por la Empresa SENCICO</t>
  </si>
  <si>
    <t xml:space="preserve">Resultado de Evaluación Informes de Auditoría interna  Nros. AI/008/2016 y AI/028/2016, Auditoria Especial del Proyecto Construcción Sistema Agua Potable Santa Rosa de Vigo (Puerto Siles-Beni).  </t>
  </si>
  <si>
    <t>Relevamiento de Información del Proyecto “Mejoramiento Sistema Agua Potable  Com. 15 de Agosto (Yapacani)”, Mejoramiento Sistema Agua Potable Com. Valle Hermoso y Tres Cruces (Yapacani), “Mejoramiento Sistema Agua Potable  Com. Puerto Avaroa (Yapacani)”, Municipio de Yapacani –Santa Cruz</t>
  </si>
  <si>
    <t>Reformulación Informes de Auditoria Interna Nº AI/004/2015 y AI/025/2015 – Auditoria Especial del Proyecto “Construcción Sistema Microriego Comunidades Alisos, Piedras Blancas, Monteagudo y el Surtidor GAM Samaipata” – Departamento de Santa Cruz. (C/Indicios De Responsabilidad Civil)</t>
  </si>
  <si>
    <t>Nº de Nota</t>
  </si>
  <si>
    <t xml:space="preserve">Programado </t>
  </si>
  <si>
    <t>Tiempo</t>
  </si>
  <si>
    <t>Costo</t>
  </si>
  <si>
    <r>
      <t>Relevamiento de Información del Proyecto “Construcción Sistema de Riego Condoriri</t>
    </r>
    <r>
      <rPr>
        <sz val="8"/>
        <color theme="1"/>
        <rFont val="Tahoma"/>
        <family val="2"/>
      </rPr>
      <t xml:space="preserve"> – (</t>
    </r>
    <r>
      <rPr>
        <sz val="10"/>
        <color theme="1"/>
        <rFont val="Tahoma"/>
        <family val="2"/>
      </rPr>
      <t>Corque - Departamento de Oruro)</t>
    </r>
  </si>
  <si>
    <t>INSTRUCTIVO FPS-D.G.E. Nº 004/2018</t>
  </si>
  <si>
    <t>Eficaz</t>
  </si>
  <si>
    <t>"DETALLE DE AUDITORIA PROGRAMADAS E INDICADORES DE RENDIMIENTO"</t>
  </si>
  <si>
    <t>económico</t>
  </si>
  <si>
    <t>eficiente</t>
  </si>
  <si>
    <t>Indicador de  Economía (Costo)</t>
  </si>
  <si>
    <t>Relevamiento de Información Proyecto “Construcción Sistema de Riego Muyurina ( El Trigal)” – Departamento De Santa Cruz</t>
  </si>
  <si>
    <t>Auditoria Especial - Procesos de Resolución de Contratos de Infraestructura de los Programas MI AGUA IV CAF, MI RIEGO CAF, BID 2614-BL-BO HOSPITALES POTOSÍ, PRONAREC II MI RIEGO BID Y MI AGUA III TGN (Control Interno).</t>
  </si>
  <si>
    <t>SUPERVISORA</t>
  </si>
  <si>
    <t>Informe Preliminar Reformulado - Auditoria Especial – Cumplimiento de Plazo para la “Conclusión Construcción del Sistema Agua Potable Pozos con Bombeo Ayllu Copacati, Caracollo Condora y Quelca Berenguela (Charaña)” – Departamento La Paz -  Empresa Unipersonal, Rodrigo Segura Marcani (Indicios De Responsabilidad Civil)</t>
  </si>
  <si>
    <t>Relevamiento de Información sobre la Auditabilidad Cumplimiento de Plazo del Proyecto “Construcción Sistema De Agua Potable Ayllu Siqui (Charaña)” - Empresa ECAR–Empresa Constructora Avila Reque – Departamento La Paz</t>
  </si>
  <si>
    <t>Segundo Seguimiento a Implantación de recomendaciones del Informe Nº AI/025/2016 Auditoria Operacional del Sistema de Programación de Operaciones (SPO) del Fondo Nacional de Inversión Productiva y Social (FPS)</t>
  </si>
  <si>
    <t>Segundo Seguimiento a Implantación de Recomendaciones del Informe Nº AI/038/2016 Auditoria Operacional del Sistema de Presupuesto del Fondo Nacional de Inversión Productiva Y Social (FPS)</t>
  </si>
  <si>
    <t>De acuerdo al último párrafo del articulo 2º de la Resolución CGE 084, los informes de seguimiento no son remitidos a la Contraloría General del Estado.</t>
  </si>
  <si>
    <t>(**)</t>
  </si>
  <si>
    <t>Anexo Nº 1</t>
  </si>
  <si>
    <t>Verificaciones del cumplimiento del procedimiento específico para el control  y conciliación de los datos liquidados en las planillas salariales y los registros individuales de cada servidor público, con alcance al 31 de diciembre de 2018</t>
  </si>
  <si>
    <t>AI-003/2019 Y AI-004/2019</t>
  </si>
  <si>
    <t>DGE-033/2019</t>
  </si>
  <si>
    <t>AI-012/2019</t>
  </si>
  <si>
    <t>Auditorias Operativas</t>
  </si>
  <si>
    <t>AI-013/2019</t>
  </si>
  <si>
    <t>Auditoria Especial cumplimiento de plazo en la Construcción del Sistema de Agua Potable Alcoche (Caranavi)</t>
  </si>
  <si>
    <t>Segundo Seguimiento al Informe Nº AI/002/2017 de Control Interno sobre Examen de Confiabilidad de los Registros y Estados Financieros del Fondo Nacional de Inversión Productiva y Social al 31/12/2016</t>
  </si>
  <si>
    <t>Primer Seguimiento al Informe Nº AI/002/2018 de Control Interno sobre Examen de Confiabilidad de los Registros y Estados Financieros del Fondo Nacional de Inversión Productiva y Social al 31/12/2017</t>
  </si>
  <si>
    <t>Primer Seguimiento a Implantación de Recomendaciones del Informe Nº AI/006/2018 Auditoria Especial sobre el Procedimiento Especifico para el Control y Conciliaciones de Datos Liquidados en las Planillas Salariales y Registros Individuales de cada Servidor Público al 31 de Diciembre de 2017</t>
  </si>
  <si>
    <t xml:space="preserve">AI-011/2019 </t>
  </si>
  <si>
    <t xml:space="preserve">AI-006/2019 </t>
  </si>
  <si>
    <t>DGE-UAI-038/2019</t>
  </si>
  <si>
    <t xml:space="preserve">AI-005/2019 </t>
  </si>
  <si>
    <t>DGE-UAI-037/2019</t>
  </si>
  <si>
    <t>Relevamiento de Información sobre la Auditabilidad del Proyecto “Construcción Presa Chiar Hoqho Corpaputo (Achacachi–La Paz)” - Empresa Constructora Hormiteco SRL</t>
  </si>
  <si>
    <t>Relevamiento de Información sobe la Auditabilidad al Cumplimiento de Plazo del Proyecto Conclusión Construcción Sistema Agua Potable Santa Rosa de Vigo (Puerto Siles-Beni), ejecutado por la Empresa Unipersonal L &amp; V Construcciones y Diseño.</t>
  </si>
  <si>
    <t>AI-INF-REL-002/2019</t>
  </si>
  <si>
    <t>AI-INF-REL-001/2019</t>
  </si>
  <si>
    <t>Auditoria Operacional al Sistema de Administración de Personal - SAP</t>
  </si>
  <si>
    <t xml:space="preserve"> -.- </t>
  </si>
  <si>
    <t>Auditoria Operativa del Sistemas de Presupuestos</t>
  </si>
  <si>
    <t>Auditoria Especial cumplimiento de plazo en la Construcción del Sistema de Agua Potable Santa Fe Amboro (PORONGO)</t>
  </si>
  <si>
    <r>
      <t xml:space="preserve">Auditoria Especial al proceso de resolución de contratos de infraestructura que presentan multas por mora de los programas PLAN VIDA KFW II </t>
    </r>
    <r>
      <rPr>
        <sz val="9"/>
        <rFont val="Tahoma"/>
        <family val="2"/>
      </rPr>
      <t xml:space="preserve">; RESILENCIA CLIMATICA EN BOLIVIA – PROYECTO DE MANEJO INTEGRADO DE CUENCAS PPCR-TF-16083 BM;  </t>
    </r>
    <r>
      <rPr>
        <sz val="9"/>
        <color rgb="FF000000"/>
        <rFont val="Tahoma"/>
        <family val="2"/>
      </rPr>
      <t xml:space="preserve"> AGUA PARA PEQUEÑAS COMUNICADES KFW. </t>
    </r>
  </si>
  <si>
    <t xml:space="preserve">Relevamiento de información sobre la auditabilidad Ampliación y Mejoramiento Centro de Salud </t>
  </si>
  <si>
    <t>Centro de Salud Achachicala</t>
  </si>
  <si>
    <t>Centro de Salud Niño Collo</t>
  </si>
  <si>
    <t>Centro de Salud Pasankeri</t>
  </si>
  <si>
    <t>Centro de Salud Vino Tnto</t>
  </si>
  <si>
    <t xml:space="preserve"> Confiabilidad </t>
  </si>
  <si>
    <t>AI-INF-REL-07</t>
  </si>
  <si>
    <t>AI-INF-REL-06</t>
  </si>
  <si>
    <t>AI-INF-REL-05</t>
  </si>
  <si>
    <t>AI-INF-REL-04</t>
  </si>
  <si>
    <t>AI-022/2019</t>
  </si>
  <si>
    <t>FPS/0185/2019</t>
  </si>
  <si>
    <t>DGE-AI-0126/2019</t>
  </si>
  <si>
    <t>AI-023/2019</t>
  </si>
  <si>
    <t>DGE-AI-0188/2020</t>
  </si>
  <si>
    <t xml:space="preserve"> economico</t>
  </si>
  <si>
    <t xml:space="preserve"> económico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</si>
</sst>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_-;\-* #,##0.00\ _€_-;_-* &quot;-&quot;??\ _€_-;_-@_-"/>
    <numFmt numFmtId="166" formatCode="0.000000000"/>
    <numFmt numFmtId="167" formatCode="0.0000000000"/>
    <numFmt numFmtId="168" formatCode="0.0000000"/>
    <numFmt numFmtId="169" formatCode="0.00000"/>
    <numFmt numFmtId="170" formatCode="0.0000E+00"/>
    <numFmt numFmtId="171" formatCode="_-* #,##0.0000000000\ _€_-;\-* #,##0.0000000000\ _€_-;_-* &quot;-&quot;??\ _€_-;_-@_-"/>
    <numFmt numFmtId="172" formatCode="_-* #,##0\ _€_-;\-* #,##0\ _€_-;_-* &quot;-&quot;??\ _€_-;_-@_-"/>
    <numFmt numFmtId="173" formatCode="0.0000"/>
  </numFmts>
  <fonts count="76" x14ac:knownFonts="1">
    <font>
      <sz val="10"/>
      <name val="Arial"/>
    </font>
    <font>
      <sz val="10"/>
      <name val="Arial"/>
      <family val="2"/>
    </font>
    <font>
      <b/>
      <sz val="10"/>
      <name val="Arial"/>
      <family val="2"/>
    </font>
    <font>
      <b/>
      <i/>
      <sz val="8"/>
      <name val="Arial"/>
      <family val="2"/>
    </font>
    <font>
      <sz val="9"/>
      <name val="Times New Roman"/>
      <family val="1"/>
    </font>
    <font>
      <b/>
      <sz val="10"/>
      <name val="Times New Roman"/>
      <family val="1"/>
    </font>
    <font>
      <sz val="10"/>
      <name val="Times New Roman"/>
      <family val="1"/>
    </font>
    <font>
      <b/>
      <i/>
      <sz val="8"/>
      <name val="Times New Roman"/>
      <family val="1"/>
    </font>
    <font>
      <b/>
      <sz val="9"/>
      <name val="Times New Roman"/>
      <family val="1"/>
    </font>
    <font>
      <sz val="8"/>
      <name val="Times New Roman"/>
      <family val="1"/>
    </font>
    <font>
      <sz val="8"/>
      <name val="Arial"/>
      <family val="2"/>
    </font>
    <font>
      <b/>
      <sz val="11"/>
      <name val="Times New Roman"/>
      <family val="1"/>
    </font>
    <font>
      <sz val="10"/>
      <name val="Arial"/>
      <family val="2"/>
    </font>
    <font>
      <sz val="9"/>
      <name val="Arial"/>
      <family val="2"/>
    </font>
    <font>
      <b/>
      <sz val="8"/>
      <name val="Times New Roman"/>
      <family val="1"/>
    </font>
    <font>
      <b/>
      <sz val="12"/>
      <name val="Times New Roman"/>
      <family val="1"/>
    </font>
    <font>
      <sz val="9"/>
      <color indexed="8"/>
      <name val="Times New Roman"/>
      <family val="1"/>
    </font>
    <font>
      <sz val="10"/>
      <name val="Tahoma"/>
      <family val="2"/>
    </font>
    <font>
      <b/>
      <sz val="10"/>
      <name val="Tahoma"/>
      <family val="2"/>
    </font>
    <font>
      <sz val="10"/>
      <color indexed="8"/>
      <name val="Tahoma"/>
      <family val="2"/>
    </font>
    <font>
      <sz val="9"/>
      <name val="Tahoma"/>
      <family val="2"/>
    </font>
    <font>
      <b/>
      <sz val="8"/>
      <name val="Tahoma"/>
      <family val="2"/>
    </font>
    <font>
      <sz val="8"/>
      <name val="Tahoma"/>
      <family val="2"/>
    </font>
    <font>
      <sz val="10"/>
      <name val="Arial"/>
      <family val="2"/>
    </font>
    <font>
      <sz val="11"/>
      <name val="Tahoma"/>
      <family val="2"/>
    </font>
    <font>
      <b/>
      <i/>
      <sz val="10"/>
      <name val="Tahoma"/>
      <family val="2"/>
    </font>
    <font>
      <sz val="5"/>
      <name val="Arial"/>
      <family val="2"/>
    </font>
    <font>
      <b/>
      <sz val="8"/>
      <name val="Calibri"/>
      <family val="2"/>
    </font>
    <font>
      <sz val="8"/>
      <name val="Calibri"/>
      <family val="2"/>
    </font>
    <font>
      <sz val="7"/>
      <name val="Tahoma"/>
      <family val="2"/>
    </font>
    <font>
      <sz val="11"/>
      <color theme="1"/>
      <name val="Calibri"/>
      <family val="2"/>
      <scheme val="minor"/>
    </font>
    <font>
      <sz val="10"/>
      <color theme="1"/>
      <name val="Tahoma"/>
      <family val="2"/>
    </font>
    <font>
      <b/>
      <sz val="8"/>
      <color rgb="FF000000"/>
      <name val="Tahoma"/>
      <family val="2"/>
    </font>
    <font>
      <sz val="8"/>
      <color rgb="FF000000"/>
      <name val="Tahoma"/>
      <family val="2"/>
    </font>
    <font>
      <sz val="10"/>
      <color rgb="FFFF0000"/>
      <name val="Arial"/>
      <family val="2"/>
    </font>
    <font>
      <sz val="10"/>
      <color theme="1"/>
      <name val="Arial"/>
      <family val="2"/>
    </font>
    <font>
      <sz val="10"/>
      <color theme="0"/>
      <name val="Arial"/>
      <family val="2"/>
    </font>
    <font>
      <sz val="8"/>
      <color rgb="FF000000"/>
      <name val="Arial"/>
      <family val="2"/>
    </font>
    <font>
      <sz val="8"/>
      <color rgb="FF000000"/>
      <name val="Times New Roman"/>
      <family val="1"/>
    </font>
    <font>
      <b/>
      <sz val="8"/>
      <color rgb="FF000000"/>
      <name val="Times New Roman"/>
      <family val="1"/>
    </font>
    <font>
      <b/>
      <sz val="8"/>
      <color rgb="FF000000"/>
      <name val="Calibri"/>
      <family val="2"/>
    </font>
    <font>
      <sz val="8"/>
      <color rgb="FF000000"/>
      <name val="Calibri"/>
      <family val="2"/>
    </font>
    <font>
      <sz val="10"/>
      <color indexed="81"/>
      <name val="Tahoma"/>
      <family val="2"/>
    </font>
    <font>
      <b/>
      <sz val="10"/>
      <color indexed="81"/>
      <name val="Tahoma"/>
      <family val="2"/>
    </font>
    <font>
      <b/>
      <sz val="10"/>
      <color theme="1"/>
      <name val="Tahoma"/>
      <family val="2"/>
    </font>
    <font>
      <b/>
      <sz val="8"/>
      <color theme="1"/>
      <name val="Tahoma"/>
      <family val="2"/>
    </font>
    <font>
      <sz val="8"/>
      <color theme="1"/>
      <name val="Tahoma"/>
      <family val="2"/>
    </font>
    <font>
      <b/>
      <sz val="8"/>
      <color theme="1"/>
      <name val="Calibri"/>
      <family val="2"/>
    </font>
    <font>
      <sz val="8"/>
      <color theme="1"/>
      <name val="Calibri"/>
      <family val="2"/>
    </font>
    <font>
      <sz val="10"/>
      <color rgb="FFC00000"/>
      <name val="Arial"/>
      <family val="2"/>
    </font>
    <font>
      <b/>
      <sz val="8"/>
      <color rgb="FFC00000"/>
      <name val="Tahoma"/>
      <family val="2"/>
    </font>
    <font>
      <sz val="8"/>
      <color rgb="FFC00000"/>
      <name val="Tahoma"/>
      <family val="2"/>
    </font>
    <font>
      <b/>
      <sz val="8"/>
      <color rgb="FFC00000"/>
      <name val="Calibri"/>
      <family val="2"/>
    </font>
    <font>
      <sz val="8"/>
      <color rgb="FFC00000"/>
      <name val="Times New Roman"/>
      <family val="1"/>
    </font>
    <font>
      <sz val="8"/>
      <color rgb="FFC00000"/>
      <name val="Calibri"/>
      <family val="2"/>
    </font>
    <font>
      <sz val="9"/>
      <name val="Calibri"/>
      <family val="2"/>
    </font>
    <font>
      <sz val="11"/>
      <name val="Calibri"/>
      <family val="2"/>
    </font>
    <font>
      <sz val="10"/>
      <color rgb="FF000000"/>
      <name val="Calibri"/>
      <family val="2"/>
    </font>
    <font>
      <sz val="9"/>
      <color rgb="FF000000"/>
      <name val="Calibri"/>
      <family val="2"/>
    </font>
    <font>
      <sz val="11"/>
      <color rgb="FF000000"/>
      <name val="Calibri"/>
      <family val="2"/>
    </font>
    <font>
      <b/>
      <sz val="6"/>
      <name val="Tahoma"/>
      <family val="2"/>
    </font>
    <font>
      <b/>
      <sz val="9"/>
      <name val="Tahoma"/>
      <family val="2"/>
    </font>
    <font>
      <sz val="9"/>
      <color rgb="FF000000"/>
      <name val="Tahoma"/>
      <family val="2"/>
    </font>
    <font>
      <sz val="9"/>
      <color indexed="8"/>
      <name val="Tahoma"/>
      <family val="2"/>
    </font>
    <font>
      <sz val="9"/>
      <color theme="1"/>
      <name val="Tahoma"/>
      <family val="2"/>
    </font>
    <font>
      <sz val="10"/>
      <name val="Arial"/>
      <family val="2"/>
    </font>
    <font>
      <b/>
      <sz val="9"/>
      <color rgb="FF000000"/>
      <name val="Tahoma"/>
      <family val="2"/>
    </font>
    <font>
      <sz val="10"/>
      <color rgb="FF000000"/>
      <name val="Tahoma"/>
      <family val="2"/>
    </font>
    <font>
      <sz val="9"/>
      <color theme="1"/>
      <name val="Arial"/>
      <family val="2"/>
    </font>
    <font>
      <sz val="7"/>
      <color theme="1"/>
      <name val="Tahoma"/>
      <family val="2"/>
    </font>
    <font>
      <b/>
      <sz val="12"/>
      <name val="Tahoma"/>
      <family val="2"/>
    </font>
    <font>
      <b/>
      <i/>
      <sz val="11"/>
      <name val="Tahoma"/>
      <family val="2"/>
    </font>
    <font>
      <b/>
      <sz val="11"/>
      <name val="Tahoma"/>
      <family val="2"/>
    </font>
    <font>
      <sz val="11"/>
      <name val="Arial"/>
      <family val="2"/>
    </font>
    <font>
      <sz val="11"/>
      <name val="Times New Roman"/>
      <family val="1"/>
    </font>
    <font>
      <sz val="9"/>
      <color rgb="FFFF0000"/>
      <name val="Tahoma"/>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FFFF99"/>
        <bgColor indexed="64"/>
      </patternFill>
    </fill>
    <fill>
      <patternFill patternType="solid">
        <fgColor theme="5" tint="0.79998168889431442"/>
        <bgColor indexed="64"/>
      </patternFill>
    </fill>
    <fill>
      <patternFill patternType="solid">
        <fgColor rgb="FF92D050"/>
        <bgColor indexed="64"/>
      </patternFill>
    </fill>
  </fills>
  <borders count="5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thin">
        <color indexed="64"/>
      </right>
      <top style="medium">
        <color indexed="64"/>
      </top>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12" fillId="0" borderId="0"/>
    <xf numFmtId="0" fontId="30" fillId="0" borderId="0"/>
    <xf numFmtId="9" fontId="23" fillId="0" borderId="0" applyFont="0" applyFill="0" applyBorder="0" applyAlignment="0" applyProtection="0"/>
    <xf numFmtId="9" fontId="12" fillId="0" borderId="0" applyFont="0" applyFill="0" applyBorder="0" applyAlignment="0" applyProtection="0"/>
    <xf numFmtId="164" fontId="65" fillId="0" borderId="0" applyFont="0" applyFill="0" applyBorder="0" applyAlignment="0" applyProtection="0"/>
  </cellStyleXfs>
  <cellXfs count="815">
    <xf numFmtId="0" fontId="0" fillId="0" borderId="0" xfId="0"/>
    <xf numFmtId="0" fontId="2" fillId="0" borderId="0" xfId="0" applyFont="1" applyAlignment="1">
      <alignment horizontal="center"/>
    </xf>
    <xf numFmtId="0" fontId="6" fillId="0" borderId="0" xfId="0" applyFont="1"/>
    <xf numFmtId="0" fontId="6" fillId="0" borderId="0" xfId="0" applyFont="1" applyBorder="1"/>
    <xf numFmtId="0" fontId="4" fillId="0" borderId="0" xfId="0" applyFont="1"/>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Border="1"/>
    <xf numFmtId="0" fontId="8" fillId="0" borderId="0" xfId="0" applyFont="1" applyBorder="1"/>
    <xf numFmtId="0" fontId="4" fillId="0" borderId="0" xfId="0" applyFont="1" applyBorder="1" applyAlignment="1">
      <alignment horizontal="center" wrapText="1"/>
    </xf>
    <xf numFmtId="0" fontId="4" fillId="0" borderId="0" xfId="0" applyFont="1" applyBorder="1" applyAlignment="1">
      <alignment horizontal="center" vertical="center" wrapText="1"/>
    </xf>
    <xf numFmtId="0" fontId="0" fillId="0" borderId="0" xfId="0" applyBorder="1"/>
    <xf numFmtId="0" fontId="7" fillId="0" borderId="0" xfId="0" applyFont="1" applyBorder="1"/>
    <xf numFmtId="0" fontId="3" fillId="0" borderId="0" xfId="0" applyFont="1" applyBorder="1"/>
    <xf numFmtId="0" fontId="5" fillId="0" borderId="0" xfId="0" applyFont="1" applyBorder="1"/>
    <xf numFmtId="0" fontId="11" fillId="0" borderId="0" xfId="0" applyFont="1" applyBorder="1" applyAlignment="1">
      <alignment horizontal="center"/>
    </xf>
    <xf numFmtId="0" fontId="8" fillId="0" borderId="0" xfId="0" applyFont="1" applyBorder="1" applyAlignment="1">
      <alignment horizontal="center" vertical="center" wrapText="1"/>
    </xf>
    <xf numFmtId="0" fontId="4" fillId="0" borderId="0" xfId="0" applyFont="1" applyBorder="1" applyAlignment="1">
      <alignment vertical="center" wrapText="1"/>
    </xf>
    <xf numFmtId="0" fontId="8" fillId="0" borderId="0" xfId="0" applyFont="1" applyBorder="1" applyAlignment="1">
      <alignment horizontal="justify" vertical="center" wrapText="1"/>
    </xf>
    <xf numFmtId="0" fontId="4" fillId="0" borderId="0" xfId="0" applyFont="1" applyFill="1" applyBorder="1" applyAlignment="1">
      <alignment horizontal="center" vertical="center" wrapText="1"/>
    </xf>
    <xf numFmtId="14" fontId="4" fillId="0" borderId="0" xfId="0" applyNumberFormat="1" applyFont="1" applyBorder="1" applyAlignment="1">
      <alignment horizontal="center" vertical="center" wrapText="1"/>
    </xf>
    <xf numFmtId="14" fontId="4" fillId="0" borderId="0" xfId="0" applyNumberFormat="1" applyFont="1" applyFill="1" applyBorder="1" applyAlignment="1">
      <alignment horizontal="center" vertical="center" wrapText="1"/>
    </xf>
    <xf numFmtId="1" fontId="4" fillId="0" borderId="0" xfId="0" applyNumberFormat="1" applyFont="1" applyBorder="1" applyAlignment="1">
      <alignment vertical="top" wrapText="1"/>
    </xf>
    <xf numFmtId="0" fontId="16" fillId="0" borderId="0" xfId="0" applyFont="1" applyBorder="1" applyAlignment="1">
      <alignment horizontal="center" vertical="center" wrapText="1"/>
    </xf>
    <xf numFmtId="1" fontId="4" fillId="0" borderId="0" xfId="0" applyNumberFormat="1" applyFont="1" applyBorder="1" applyAlignment="1">
      <alignment horizontal="justify" vertical="center" wrapText="1"/>
    </xf>
    <xf numFmtId="0" fontId="8" fillId="0" borderId="0" xfId="0" applyFont="1" applyBorder="1" applyAlignment="1">
      <alignment vertical="center" wrapText="1"/>
    </xf>
    <xf numFmtId="0" fontId="4" fillId="0" borderId="0" xfId="0" applyFont="1" applyBorder="1" applyAlignment="1">
      <alignment horizontal="justify" vertical="center" wrapText="1"/>
    </xf>
    <xf numFmtId="0" fontId="4" fillId="0" borderId="0" xfId="0" applyFont="1" applyBorder="1" applyAlignment="1">
      <alignment horizontal="center" vertical="center"/>
    </xf>
    <xf numFmtId="1" fontId="8" fillId="0" borderId="0" xfId="0" applyNumberFormat="1" applyFont="1" applyBorder="1" applyAlignment="1">
      <alignment horizontal="justify" vertical="top" wrapText="1"/>
    </xf>
    <xf numFmtId="0" fontId="4" fillId="0" borderId="0" xfId="0" applyFont="1" applyBorder="1" applyAlignment="1">
      <alignment horizontal="center"/>
    </xf>
    <xf numFmtId="0" fontId="17" fillId="0" borderId="0" xfId="0" applyFont="1"/>
    <xf numFmtId="0" fontId="18" fillId="0" borderId="0" xfId="0" applyFont="1"/>
    <xf numFmtId="0" fontId="18" fillId="0" borderId="2" xfId="0" applyFont="1" applyBorder="1" applyAlignment="1">
      <alignment horizontal="center" vertical="center" wrapText="1"/>
    </xf>
    <xf numFmtId="0" fontId="17" fillId="0" borderId="3" xfId="0" applyFont="1" applyBorder="1" applyAlignment="1">
      <alignment horizontal="center" vertical="center" wrapText="1"/>
    </xf>
    <xf numFmtId="14" fontId="17" fillId="0" borderId="3" xfId="0" applyNumberFormat="1" applyFont="1" applyBorder="1" applyAlignment="1">
      <alignment horizontal="center" vertical="center" wrapText="1"/>
    </xf>
    <xf numFmtId="14" fontId="17" fillId="0" borderId="4" xfId="0" applyNumberFormat="1" applyFont="1" applyBorder="1" applyAlignment="1">
      <alignment horizontal="center" vertical="center" wrapText="1"/>
    </xf>
    <xf numFmtId="1" fontId="20" fillId="0" borderId="0" xfId="0" applyNumberFormat="1" applyFont="1"/>
    <xf numFmtId="0" fontId="20" fillId="0" borderId="0" xfId="0" applyFont="1" applyAlignment="1">
      <alignment horizontal="center" wrapText="1"/>
    </xf>
    <xf numFmtId="0" fontId="20" fillId="0" borderId="0" xfId="0" applyFont="1" applyAlignment="1">
      <alignment horizontal="center" vertical="center" wrapText="1"/>
    </xf>
    <xf numFmtId="0" fontId="17" fillId="0" borderId="3" xfId="0" applyFont="1" applyBorder="1" applyAlignment="1">
      <alignment horizontal="center" vertical="center"/>
    </xf>
    <xf numFmtId="0" fontId="12" fillId="0" borderId="0" xfId="1" applyFont="1"/>
    <xf numFmtId="0" fontId="6" fillId="0" borderId="0" xfId="1" applyFont="1"/>
    <xf numFmtId="0" fontId="6" fillId="0" borderId="0" xfId="1" applyFont="1" applyFill="1"/>
    <xf numFmtId="0" fontId="12" fillId="0" borderId="0" xfId="1" applyFont="1" applyFill="1"/>
    <xf numFmtId="1" fontId="0" fillId="0" borderId="0" xfId="0" applyNumberFormat="1"/>
    <xf numFmtId="0" fontId="19" fillId="0" borderId="3" xfId="0" applyFont="1" applyBorder="1" applyAlignment="1">
      <alignment horizontal="center" vertical="center" wrapText="1"/>
    </xf>
    <xf numFmtId="0" fontId="14" fillId="0" borderId="0" xfId="0" applyFont="1" applyBorder="1"/>
    <xf numFmtId="0" fontId="17" fillId="0" borderId="3" xfId="0" applyFont="1" applyFill="1" applyBorder="1" applyAlignment="1">
      <alignment horizontal="center" vertical="center" wrapText="1"/>
    </xf>
    <xf numFmtId="0" fontId="19" fillId="0" borderId="4" xfId="0" applyFont="1" applyBorder="1" applyAlignment="1">
      <alignment horizontal="center" vertical="center" wrapText="1"/>
    </xf>
    <xf numFmtId="1" fontId="17" fillId="0" borderId="3" xfId="0" applyNumberFormat="1" applyFont="1" applyBorder="1" applyAlignment="1">
      <alignment horizontal="center" vertical="center"/>
    </xf>
    <xf numFmtId="0" fontId="17" fillId="0" borderId="3" xfId="0" applyFont="1" applyBorder="1" applyAlignment="1">
      <alignment horizontal="justify" vertical="top" wrapText="1"/>
    </xf>
    <xf numFmtId="0" fontId="22" fillId="0" borderId="3" xfId="0" applyFont="1" applyBorder="1" applyAlignment="1">
      <alignment horizontal="left" vertical="center" wrapText="1"/>
    </xf>
    <xf numFmtId="1" fontId="17" fillId="0" borderId="3" xfId="0" applyNumberFormat="1" applyFont="1" applyBorder="1" applyAlignment="1">
      <alignment vertical="top" wrapText="1"/>
    </xf>
    <xf numFmtId="0" fontId="0" fillId="0" borderId="0" xfId="0" applyAlignment="1">
      <alignment wrapText="1"/>
    </xf>
    <xf numFmtId="0" fontId="17" fillId="0" borderId="3" xfId="0" applyFont="1" applyBorder="1" applyAlignment="1">
      <alignment vertical="top" wrapText="1"/>
    </xf>
    <xf numFmtId="0" fontId="17" fillId="0" borderId="9" xfId="0" applyFont="1" applyBorder="1" applyAlignment="1">
      <alignment horizontal="center" vertical="center" wrapText="1"/>
    </xf>
    <xf numFmtId="0" fontId="18" fillId="0" borderId="11" xfId="0" applyFont="1" applyBorder="1" applyAlignment="1">
      <alignment vertical="top" wrapText="1"/>
    </xf>
    <xf numFmtId="0" fontId="18" fillId="0" borderId="12" xfId="0" applyFont="1" applyBorder="1" applyAlignment="1">
      <alignment vertical="top" wrapText="1"/>
    </xf>
    <xf numFmtId="0" fontId="18" fillId="0" borderId="11" xfId="0" applyFont="1" applyBorder="1" applyAlignment="1">
      <alignment vertical="top"/>
    </xf>
    <xf numFmtId="0" fontId="12" fillId="0" borderId="0" xfId="0" applyFont="1"/>
    <xf numFmtId="0" fontId="25" fillId="0" borderId="0" xfId="0" applyFont="1"/>
    <xf numFmtId="0" fontId="18" fillId="0" borderId="0" xfId="0" applyFont="1" applyAlignment="1">
      <alignment horizontal="center"/>
    </xf>
    <xf numFmtId="0" fontId="26" fillId="0" borderId="0" xfId="0" applyFont="1"/>
    <xf numFmtId="0" fontId="21" fillId="0" borderId="0" xfId="0" applyFont="1" applyAlignment="1">
      <alignment horizontal="center"/>
    </xf>
    <xf numFmtId="0" fontId="22" fillId="0" borderId="0" xfId="0" applyFont="1" applyAlignment="1">
      <alignment horizontal="right"/>
    </xf>
    <xf numFmtId="0" fontId="22" fillId="0" borderId="0" xfId="0" applyFont="1"/>
    <xf numFmtId="0" fontId="27" fillId="0" borderId="0" xfId="0" applyFont="1" applyAlignment="1">
      <alignment horizontal="center"/>
    </xf>
    <xf numFmtId="0" fontId="27" fillId="0" borderId="0" xfId="0" applyFont="1" applyAlignment="1">
      <alignment horizontal="right"/>
    </xf>
    <xf numFmtId="0" fontId="28" fillId="0" borderId="0" xfId="0" applyFont="1"/>
    <xf numFmtId="0" fontId="28" fillId="0" borderId="13" xfId="0" applyFont="1" applyBorder="1"/>
    <xf numFmtId="0" fontId="0" fillId="0" borderId="0" xfId="0" applyAlignment="1">
      <alignment horizontal="right" vertical="center"/>
    </xf>
    <xf numFmtId="0" fontId="17" fillId="0" borderId="0" xfId="0" applyFont="1" applyAlignment="1">
      <alignment wrapText="1"/>
    </xf>
    <xf numFmtId="166" fontId="17" fillId="0" borderId="3" xfId="0" applyNumberFormat="1" applyFont="1" applyBorder="1" applyAlignment="1">
      <alignment horizontal="center" vertical="center"/>
    </xf>
    <xf numFmtId="0" fontId="21" fillId="0" borderId="0" xfId="0" applyFont="1" applyBorder="1" applyAlignment="1">
      <alignment horizontal="center"/>
    </xf>
    <xf numFmtId="0" fontId="22" fillId="0" borderId="0" xfId="0" applyFont="1" applyBorder="1" applyAlignment="1">
      <alignment horizontal="center"/>
    </xf>
    <xf numFmtId="0" fontId="27" fillId="0" borderId="0" xfId="0" applyFont="1" applyBorder="1" applyAlignment="1">
      <alignment horizontal="right"/>
    </xf>
    <xf numFmtId="0" fontId="18" fillId="0" borderId="14" xfId="0" applyFont="1" applyBorder="1" applyAlignment="1">
      <alignment vertical="top" wrapText="1"/>
    </xf>
    <xf numFmtId="0" fontId="18" fillId="0" borderId="15" xfId="0" applyFont="1" applyBorder="1" applyAlignment="1">
      <alignment vertical="top" wrapText="1"/>
    </xf>
    <xf numFmtId="0" fontId="18" fillId="0" borderId="12" xfId="0" applyFont="1" applyBorder="1" applyAlignment="1">
      <alignment vertical="top"/>
    </xf>
    <xf numFmtId="0" fontId="18" fillId="0" borderId="0" xfId="0" applyFont="1" applyAlignment="1">
      <alignment horizontal="right"/>
    </xf>
    <xf numFmtId="0" fontId="15" fillId="0" borderId="0" xfId="0" applyFont="1" applyAlignment="1">
      <alignment horizontal="center"/>
    </xf>
    <xf numFmtId="1" fontId="17" fillId="0" borderId="0" xfId="0" applyNumberFormat="1" applyFont="1" applyFill="1" applyBorder="1" applyAlignment="1">
      <alignment horizontal="center" vertical="center" wrapText="1"/>
    </xf>
    <xf numFmtId="1" fontId="17" fillId="0" borderId="3" xfId="0" applyNumberFormat="1" applyFont="1" applyBorder="1" applyAlignment="1">
      <alignment horizontal="center" vertical="center" wrapText="1"/>
    </xf>
    <xf numFmtId="1" fontId="17" fillId="0" borderId="12" xfId="0" applyNumberFormat="1" applyFont="1" applyBorder="1" applyAlignment="1">
      <alignment horizontal="center" vertical="center" wrapText="1"/>
    </xf>
    <xf numFmtId="0" fontId="22" fillId="0" borderId="3" xfId="0" applyFont="1" applyBorder="1" applyAlignment="1">
      <alignment horizontal="center"/>
    </xf>
    <xf numFmtId="0" fontId="22" fillId="0" borderId="3" xfId="0" applyFont="1" applyBorder="1" applyAlignment="1">
      <alignment horizontal="right"/>
    </xf>
    <xf numFmtId="0" fontId="22" fillId="0" borderId="9" xfId="0" applyFont="1" applyBorder="1"/>
    <xf numFmtId="3" fontId="22" fillId="0" borderId="4" xfId="0" applyNumberFormat="1" applyFont="1" applyBorder="1" applyAlignment="1">
      <alignment horizontal="right"/>
    </xf>
    <xf numFmtId="0" fontId="21" fillId="0" borderId="10" xfId="0" applyFont="1" applyBorder="1" applyAlignment="1">
      <alignment horizontal="center"/>
    </xf>
    <xf numFmtId="3" fontId="17" fillId="0" borderId="0" xfId="0" applyNumberFormat="1" applyFont="1"/>
    <xf numFmtId="0" fontId="9" fillId="0" borderId="3" xfId="0" applyFont="1" applyBorder="1" applyAlignment="1">
      <alignment horizontal="right"/>
    </xf>
    <xf numFmtId="0" fontId="14" fillId="0" borderId="1" xfId="0" applyFont="1" applyBorder="1" applyAlignment="1">
      <alignment horizontal="center"/>
    </xf>
    <xf numFmtId="0" fontId="12" fillId="0" borderId="0" xfId="0" applyFont="1" applyBorder="1"/>
    <xf numFmtId="0" fontId="27" fillId="0" borderId="0" xfId="0" applyFont="1" applyBorder="1" applyAlignment="1">
      <alignment horizontal="center"/>
    </xf>
    <xf numFmtId="0" fontId="28" fillId="0" borderId="0" xfId="0" applyFont="1" applyBorder="1"/>
    <xf numFmtId="3" fontId="32" fillId="0" borderId="0" xfId="0" applyNumberFormat="1" applyFont="1" applyBorder="1" applyAlignment="1">
      <alignment horizontal="right"/>
    </xf>
    <xf numFmtId="0" fontId="21" fillId="0" borderId="1" xfId="0" applyFont="1" applyBorder="1" applyAlignment="1">
      <alignment horizontal="right"/>
    </xf>
    <xf numFmtId="1" fontId="22" fillId="0" borderId="7" xfId="0" applyNumberFormat="1" applyFont="1" applyBorder="1" applyAlignment="1"/>
    <xf numFmtId="1" fontId="21" fillId="0" borderId="1" xfId="0" applyNumberFormat="1" applyFont="1" applyBorder="1" applyAlignment="1">
      <alignment horizontal="right"/>
    </xf>
    <xf numFmtId="0" fontId="29" fillId="0" borderId="0" xfId="0" applyFont="1" applyAlignment="1"/>
    <xf numFmtId="14" fontId="17" fillId="0" borderId="0" xfId="0" applyNumberFormat="1" applyFont="1"/>
    <xf numFmtId="14" fontId="18" fillId="0" borderId="15" xfId="0" applyNumberFormat="1" applyFont="1" applyBorder="1" applyAlignment="1">
      <alignment vertical="top" wrapText="1"/>
    </xf>
    <xf numFmtId="14" fontId="18" fillId="0" borderId="12" xfId="0" applyNumberFormat="1" applyFont="1" applyBorder="1" applyAlignment="1">
      <alignment vertical="top" wrapText="1"/>
    </xf>
    <xf numFmtId="14" fontId="18" fillId="0" borderId="12" xfId="0" applyNumberFormat="1" applyFont="1" applyBorder="1" applyAlignment="1">
      <alignment vertical="top"/>
    </xf>
    <xf numFmtId="14" fontId="20" fillId="0" borderId="0" xfId="0" applyNumberFormat="1" applyFont="1" applyAlignment="1">
      <alignment horizontal="center" vertical="center" wrapText="1"/>
    </xf>
    <xf numFmtId="14" fontId="4" fillId="0" borderId="0" xfId="0" applyNumberFormat="1" applyFont="1" applyAlignment="1">
      <alignment horizontal="center" vertical="center" wrapText="1"/>
    </xf>
    <xf numFmtId="14" fontId="0" fillId="0" borderId="0" xfId="0" applyNumberFormat="1" applyBorder="1"/>
    <xf numFmtId="14" fontId="11" fillId="0" borderId="0" xfId="0" applyNumberFormat="1" applyFont="1" applyBorder="1" applyAlignment="1">
      <alignment horizontal="center"/>
    </xf>
    <xf numFmtId="14" fontId="6" fillId="0" borderId="0" xfId="0" applyNumberFormat="1" applyFont="1" applyBorder="1"/>
    <xf numFmtId="14" fontId="4" fillId="0" borderId="0" xfId="0" applyNumberFormat="1" applyFont="1" applyBorder="1" applyAlignment="1">
      <alignment vertical="center" wrapText="1"/>
    </xf>
    <xf numFmtId="14" fontId="0" fillId="0" borderId="0" xfId="0" applyNumberFormat="1"/>
    <xf numFmtId="0" fontId="17" fillId="0" borderId="0" xfId="0" applyFont="1" applyAlignment="1">
      <alignment horizontal="center"/>
    </xf>
    <xf numFmtId="0" fontId="18" fillId="0" borderId="24" xfId="0" applyFont="1" applyBorder="1" applyAlignment="1">
      <alignment horizontal="center" vertical="top" wrapText="1"/>
    </xf>
    <xf numFmtId="0" fontId="18" fillId="0" borderId="20" xfId="0" applyFont="1" applyBorder="1" applyAlignment="1">
      <alignment horizontal="center" vertical="top" wrapText="1"/>
    </xf>
    <xf numFmtId="0" fontId="18" fillId="0" borderId="20" xfId="0" applyFont="1" applyBorder="1" applyAlignment="1">
      <alignment horizontal="center" vertical="top"/>
    </xf>
    <xf numFmtId="0" fontId="0" fillId="0" borderId="0" xfId="0" applyBorder="1" applyAlignment="1">
      <alignment horizontal="center"/>
    </xf>
    <xf numFmtId="0" fontId="6" fillId="0" borderId="0" xfId="0" applyFont="1" applyBorder="1" applyAlignment="1">
      <alignment horizontal="center"/>
    </xf>
    <xf numFmtId="0" fontId="0" fillId="0" borderId="0" xfId="0" applyAlignment="1">
      <alignment horizontal="center"/>
    </xf>
    <xf numFmtId="0" fontId="22" fillId="0" borderId="3" xfId="0" applyFont="1" applyBorder="1" applyAlignment="1">
      <alignment horizontal="right" vertical="center"/>
    </xf>
    <xf numFmtId="0" fontId="21" fillId="0" borderId="25" xfId="0" applyFont="1" applyBorder="1" applyAlignment="1">
      <alignment horizontal="center"/>
    </xf>
    <xf numFmtId="0" fontId="0" fillId="4" borderId="0" xfId="0" applyFill="1"/>
    <xf numFmtId="0" fontId="0" fillId="4" borderId="3" xfId="0" applyFill="1" applyBorder="1"/>
    <xf numFmtId="0" fontId="0" fillId="4" borderId="0" xfId="0" applyFill="1" applyAlignment="1">
      <alignment horizontal="right" vertical="center"/>
    </xf>
    <xf numFmtId="0" fontId="2" fillId="0" borderId="26" xfId="0" applyFont="1" applyBorder="1"/>
    <xf numFmtId="0" fontId="2" fillId="0" borderId="27" xfId="0" applyFont="1" applyBorder="1"/>
    <xf numFmtId="0" fontId="2" fillId="0" borderId="2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0" fontId="21" fillId="0" borderId="29" xfId="0" applyFont="1" applyBorder="1" applyAlignment="1">
      <alignment horizontal="center"/>
    </xf>
    <xf numFmtId="1" fontId="22" fillId="0" borderId="3" xfId="0" applyNumberFormat="1" applyFont="1" applyBorder="1" applyAlignment="1">
      <alignment horizontal="center"/>
    </xf>
    <xf numFmtId="0" fontId="21" fillId="0" borderId="30" xfId="0" applyFont="1" applyBorder="1" applyAlignment="1">
      <alignment horizontal="center"/>
    </xf>
    <xf numFmtId="0" fontId="21" fillId="0" borderId="31" xfId="0" applyFont="1" applyBorder="1" applyAlignment="1">
      <alignment horizontal="center"/>
    </xf>
    <xf numFmtId="0" fontId="0" fillId="0" borderId="3" xfId="0" applyBorder="1" applyAlignment="1">
      <alignment wrapText="1"/>
    </xf>
    <xf numFmtId="0" fontId="0" fillId="0" borderId="32" xfId="0" applyBorder="1" applyAlignment="1">
      <alignment wrapText="1"/>
    </xf>
    <xf numFmtId="0" fontId="0" fillId="0" borderId="6" xfId="0" applyBorder="1" applyAlignment="1">
      <alignment wrapText="1"/>
    </xf>
    <xf numFmtId="0" fontId="0" fillId="0" borderId="4" xfId="0" applyBorder="1" applyAlignment="1">
      <alignment wrapText="1"/>
    </xf>
    <xf numFmtId="0" fontId="0" fillId="0" borderId="1" xfId="0" applyBorder="1" applyAlignment="1">
      <alignment wrapText="1"/>
    </xf>
    <xf numFmtId="0" fontId="12" fillId="0" borderId="2" xfId="0" applyFont="1" applyBorder="1" applyAlignment="1">
      <alignment wrapText="1"/>
    </xf>
    <xf numFmtId="3" fontId="32" fillId="3" borderId="2" xfId="0" applyNumberFormat="1" applyFont="1" applyFill="1" applyBorder="1" applyAlignment="1">
      <alignment horizontal="right"/>
    </xf>
    <xf numFmtId="0" fontId="28" fillId="0" borderId="0" xfId="0" applyFont="1" applyFill="1"/>
    <xf numFmtId="0" fontId="22" fillId="0" borderId="0" xfId="0" applyFont="1" applyAlignment="1"/>
    <xf numFmtId="0" fontId="28" fillId="0" borderId="0" xfId="0" applyFont="1" applyAlignment="1"/>
    <xf numFmtId="3" fontId="32" fillId="4" borderId="2" xfId="0" applyNumberFormat="1" applyFont="1" applyFill="1" applyBorder="1" applyAlignment="1">
      <alignment horizontal="right"/>
    </xf>
    <xf numFmtId="0" fontId="0" fillId="0" borderId="0" xfId="0" applyAlignment="1">
      <alignment horizontal="left" vertical="center" wrapText="1"/>
    </xf>
    <xf numFmtId="1" fontId="21" fillId="0" borderId="8" xfId="0" applyNumberFormat="1" applyFont="1" applyBorder="1" applyAlignment="1">
      <alignment horizontal="center"/>
    </xf>
    <xf numFmtId="1" fontId="0" fillId="0" borderId="8" xfId="0" applyNumberFormat="1" applyBorder="1"/>
    <xf numFmtId="1" fontId="2" fillId="0" borderId="0" xfId="0" applyNumberFormat="1" applyFont="1" applyBorder="1" applyAlignment="1">
      <alignment horizontal="right" vertical="center"/>
    </xf>
    <xf numFmtId="0" fontId="0" fillId="0" borderId="0" xfId="0" applyAlignment="1">
      <alignment horizontal="right"/>
    </xf>
    <xf numFmtId="0" fontId="21" fillId="0" borderId="33" xfId="0" applyFont="1" applyBorder="1" applyAlignment="1">
      <alignment horizontal="center"/>
    </xf>
    <xf numFmtId="0" fontId="21" fillId="0" borderId="34" xfId="0" applyFont="1" applyBorder="1" applyAlignment="1">
      <alignment horizontal="center"/>
    </xf>
    <xf numFmtId="1" fontId="0" fillId="0" borderId="0" xfId="0" applyNumberFormat="1" applyBorder="1"/>
    <xf numFmtId="0" fontId="0" fillId="0" borderId="0" xfId="0" applyFill="1"/>
    <xf numFmtId="3" fontId="33" fillId="0" borderId="18" xfId="0" applyNumberFormat="1" applyFont="1" applyBorder="1" applyAlignment="1">
      <alignment horizontal="right" vertical="center" wrapText="1"/>
    </xf>
    <xf numFmtId="0" fontId="34" fillId="0" borderId="0" xfId="1" applyFont="1" applyFill="1"/>
    <xf numFmtId="0" fontId="34" fillId="0" borderId="0" xfId="1" applyFont="1"/>
    <xf numFmtId="3" fontId="33" fillId="0" borderId="3" xfId="0" applyNumberFormat="1" applyFont="1" applyBorder="1" applyAlignment="1">
      <alignment horizontal="right" vertical="center"/>
    </xf>
    <xf numFmtId="0" fontId="0" fillId="0" borderId="0" xfId="0" applyAlignment="1"/>
    <xf numFmtId="3" fontId="32" fillId="4" borderId="0" xfId="0" applyNumberFormat="1" applyFont="1" applyFill="1" applyBorder="1" applyAlignment="1">
      <alignment horizontal="right"/>
    </xf>
    <xf numFmtId="1" fontId="20" fillId="0" borderId="0" xfId="0" applyNumberFormat="1" applyFont="1" applyFill="1" applyAlignment="1">
      <alignment horizontal="center" vertical="center" wrapText="1"/>
    </xf>
    <xf numFmtId="0" fontId="29" fillId="0" borderId="0" xfId="0" applyFont="1"/>
    <xf numFmtId="1" fontId="17" fillId="0" borderId="3" xfId="0" applyNumberFormat="1" applyFont="1" applyFill="1" applyBorder="1" applyAlignment="1">
      <alignment horizontal="center" vertical="center" wrapText="1"/>
    </xf>
    <xf numFmtId="14" fontId="17" fillId="0" borderId="3" xfId="0" applyNumberFormat="1" applyFont="1" applyFill="1" applyBorder="1" applyAlignment="1">
      <alignment horizontal="center" vertical="center" wrapText="1"/>
    </xf>
    <xf numFmtId="0" fontId="19" fillId="0" borderId="3" xfId="0" applyFont="1" applyFill="1" applyBorder="1" applyAlignment="1">
      <alignment horizontal="center" vertical="center" wrapText="1"/>
    </xf>
    <xf numFmtId="14" fontId="17" fillId="0" borderId="4" xfId="0" applyNumberFormat="1" applyFont="1" applyFill="1" applyBorder="1" applyAlignment="1">
      <alignment horizontal="center" vertical="center" wrapText="1"/>
    </xf>
    <xf numFmtId="1" fontId="17" fillId="0" borderId="12" xfId="0" applyNumberFormat="1" applyFont="1" applyFill="1" applyBorder="1" applyAlignment="1">
      <alignment horizontal="center" vertical="center" wrapText="1"/>
    </xf>
    <xf numFmtId="0" fontId="18" fillId="0" borderId="12" xfId="0" applyFont="1" applyFill="1" applyBorder="1" applyAlignment="1">
      <alignment vertical="top"/>
    </xf>
    <xf numFmtId="14" fontId="18" fillId="0" borderId="12" xfId="0" applyNumberFormat="1" applyFont="1" applyFill="1" applyBorder="1" applyAlignment="1">
      <alignment vertical="top"/>
    </xf>
    <xf numFmtId="0" fontId="18" fillId="0" borderId="20" xfId="0" applyFont="1" applyFill="1" applyBorder="1" applyAlignment="1">
      <alignment horizontal="center" vertical="top"/>
    </xf>
    <xf numFmtId="0" fontId="18" fillId="0" borderId="1" xfId="0" applyFont="1" applyBorder="1" applyAlignment="1">
      <alignment horizontal="center" vertical="center" wrapText="1"/>
    </xf>
    <xf numFmtId="0" fontId="0" fillId="0" borderId="0" xfId="0" applyBorder="1" applyAlignment="1">
      <alignment wrapText="1"/>
    </xf>
    <xf numFmtId="0" fontId="3" fillId="0" borderId="0" xfId="0" applyFont="1" applyBorder="1" applyAlignment="1">
      <alignment horizontal="left" wrapText="1"/>
    </xf>
    <xf numFmtId="14" fontId="0" fillId="0" borderId="0" xfId="0" applyNumberFormat="1" applyBorder="1" applyAlignment="1">
      <alignment wrapText="1"/>
    </xf>
    <xf numFmtId="0" fontId="36" fillId="0" borderId="0" xfId="0" applyFont="1" applyFill="1"/>
    <xf numFmtId="0" fontId="17" fillId="0" borderId="0" xfId="0" applyFont="1" applyBorder="1" applyAlignment="1">
      <alignment horizontal="center" vertical="center" wrapText="1"/>
    </xf>
    <xf numFmtId="14" fontId="17" fillId="0" borderId="0" xfId="0" applyNumberFormat="1" applyFont="1" applyBorder="1" applyAlignment="1">
      <alignment horizontal="center" vertical="center" wrapText="1"/>
    </xf>
    <xf numFmtId="0" fontId="17" fillId="0" borderId="11" xfId="0" applyFont="1" applyBorder="1" applyAlignment="1">
      <alignment horizontal="center" vertical="center" wrapText="1"/>
    </xf>
    <xf numFmtId="14" fontId="17" fillId="0" borderId="20" xfId="0" applyNumberFormat="1" applyFont="1" applyBorder="1" applyAlignment="1">
      <alignment horizontal="center" vertical="center" wrapText="1"/>
    </xf>
    <xf numFmtId="0" fontId="18" fillId="0" borderId="14" xfId="0" applyFont="1" applyBorder="1" applyAlignment="1">
      <alignment vertical="top"/>
    </xf>
    <xf numFmtId="0" fontId="17" fillId="0" borderId="3" xfId="0" applyFont="1" applyBorder="1" applyAlignment="1">
      <alignment horizontal="justify" vertical="center"/>
    </xf>
    <xf numFmtId="0" fontId="33" fillId="0" borderId="3" xfId="0" applyFont="1" applyBorder="1" applyAlignment="1">
      <alignment vertical="center"/>
    </xf>
    <xf numFmtId="0" fontId="33" fillId="0" borderId="3" xfId="0" applyFont="1" applyBorder="1" applyAlignment="1">
      <alignment horizontal="center" vertical="center"/>
    </xf>
    <xf numFmtId="0" fontId="33" fillId="0" borderId="3" xfId="0" applyFont="1" applyBorder="1" applyAlignment="1">
      <alignment horizontal="right" vertical="center"/>
    </xf>
    <xf numFmtId="0" fontId="33" fillId="0" borderId="9" xfId="0" applyFont="1" applyFill="1" applyBorder="1" applyAlignment="1">
      <alignment vertical="center"/>
    </xf>
    <xf numFmtId="0" fontId="33" fillId="0" borderId="3" xfId="0" applyFont="1" applyFill="1" applyBorder="1" applyAlignment="1">
      <alignment horizontal="center" vertical="center"/>
    </xf>
    <xf numFmtId="0" fontId="33" fillId="0" borderId="3" xfId="0" applyFont="1" applyFill="1" applyBorder="1" applyAlignment="1">
      <alignment horizontal="right" vertical="center"/>
    </xf>
    <xf numFmtId="3" fontId="33" fillId="0" borderId="4" xfId="0" applyNumberFormat="1" applyFont="1" applyFill="1" applyBorder="1" applyAlignment="1">
      <alignment horizontal="right" vertical="center"/>
    </xf>
    <xf numFmtId="0" fontId="32" fillId="0" borderId="10" xfId="0" applyFont="1" applyFill="1" applyBorder="1" applyAlignment="1">
      <alignment vertical="center"/>
    </xf>
    <xf numFmtId="0" fontId="32" fillId="0" borderId="1" xfId="0" applyFont="1" applyFill="1" applyBorder="1" applyAlignment="1">
      <alignment horizontal="center" vertical="center"/>
    </xf>
    <xf numFmtId="0" fontId="39" fillId="0" borderId="1" xfId="0" applyFont="1" applyFill="1" applyBorder="1" applyAlignment="1">
      <alignment horizontal="center" vertical="center"/>
    </xf>
    <xf numFmtId="3" fontId="32" fillId="0" borderId="2" xfId="0" applyNumberFormat="1" applyFont="1" applyFill="1" applyBorder="1" applyAlignment="1">
      <alignment horizontal="right" vertical="center"/>
    </xf>
    <xf numFmtId="0" fontId="33" fillId="0" borderId="3" xfId="0" applyFont="1" applyFill="1" applyBorder="1" applyAlignment="1">
      <alignment vertical="center"/>
    </xf>
    <xf numFmtId="3" fontId="33" fillId="0" borderId="3" xfId="0" applyNumberFormat="1" applyFont="1" applyFill="1" applyBorder="1" applyAlignment="1">
      <alignment horizontal="right" vertical="center"/>
    </xf>
    <xf numFmtId="0" fontId="40" fillId="0" borderId="0" xfId="0" applyFont="1" applyFill="1" applyBorder="1" applyAlignment="1">
      <alignment vertical="center"/>
    </xf>
    <xf numFmtId="0" fontId="41" fillId="0" borderId="0" xfId="0" applyFont="1" applyFill="1" applyBorder="1" applyAlignment="1">
      <alignment vertical="center"/>
    </xf>
    <xf numFmtId="0" fontId="32" fillId="0" borderId="10" xfId="0" applyFont="1" applyFill="1" applyBorder="1" applyAlignment="1">
      <alignment horizontal="center" vertical="center"/>
    </xf>
    <xf numFmtId="0" fontId="33" fillId="0" borderId="1" xfId="0" applyFont="1" applyFill="1" applyBorder="1" applyAlignment="1">
      <alignment horizontal="center" vertical="center"/>
    </xf>
    <xf numFmtId="0" fontId="38" fillId="0" borderId="0" xfId="0" applyFont="1" applyFill="1" applyBorder="1" applyAlignment="1">
      <alignment horizontal="center" vertical="center"/>
    </xf>
    <xf numFmtId="0" fontId="33" fillId="0" borderId="19" xfId="0" applyFont="1" applyBorder="1" applyAlignment="1">
      <alignment horizontal="justify" vertical="center" wrapText="1"/>
    </xf>
    <xf numFmtId="0" fontId="33" fillId="0" borderId="18" xfId="0" applyFont="1" applyBorder="1" applyAlignment="1">
      <alignment horizontal="center" vertical="center" wrapText="1"/>
    </xf>
    <xf numFmtId="0" fontId="33" fillId="0" borderId="18" xfId="0" applyFont="1" applyBorder="1" applyAlignment="1">
      <alignment horizontal="right" vertical="center" wrapText="1"/>
    </xf>
    <xf numFmtId="0" fontId="14" fillId="0" borderId="0" xfId="0" applyFont="1" applyBorder="1" applyAlignment="1">
      <alignment horizontal="center"/>
    </xf>
    <xf numFmtId="0" fontId="22" fillId="0" borderId="0" xfId="0" applyFont="1" applyAlignment="1">
      <alignment horizontal="center"/>
    </xf>
    <xf numFmtId="0" fontId="21" fillId="0" borderId="3" xfId="0" applyFont="1" applyBorder="1" applyAlignment="1">
      <alignment horizontal="center"/>
    </xf>
    <xf numFmtId="0" fontId="21" fillId="0" borderId="4" xfId="0" applyFont="1" applyBorder="1" applyAlignment="1">
      <alignment horizontal="center"/>
    </xf>
    <xf numFmtId="0" fontId="0" fillId="0" borderId="0" xfId="0" applyAlignment="1">
      <alignment vertical="top"/>
    </xf>
    <xf numFmtId="0" fontId="18" fillId="0" borderId="0" xfId="0" applyFont="1" applyAlignment="1">
      <alignment horizontal="center"/>
    </xf>
    <xf numFmtId="0" fontId="32" fillId="0" borderId="19" xfId="0" applyFont="1" applyBorder="1" applyAlignment="1">
      <alignment horizontal="center" vertical="center" wrapText="1"/>
    </xf>
    <xf numFmtId="0" fontId="32" fillId="0" borderId="18" xfId="0" applyFont="1" applyBorder="1" applyAlignment="1">
      <alignment horizontal="center" vertical="center" wrapText="1"/>
    </xf>
    <xf numFmtId="0" fontId="21" fillId="0" borderId="0" xfId="0" applyFont="1" applyBorder="1" applyAlignment="1">
      <alignment horizontal="right"/>
    </xf>
    <xf numFmtId="3" fontId="21" fillId="0" borderId="0" xfId="0" applyNumberFormat="1" applyFont="1" applyFill="1" applyBorder="1" applyAlignment="1">
      <alignment horizontal="right"/>
    </xf>
    <xf numFmtId="1" fontId="22" fillId="0" borderId="3" xfId="0" applyNumberFormat="1" applyFont="1" applyBorder="1" applyAlignment="1"/>
    <xf numFmtId="3" fontId="21" fillId="0" borderId="2" xfId="0" applyNumberFormat="1" applyFont="1" applyFill="1" applyBorder="1" applyAlignment="1">
      <alignment horizontal="right"/>
    </xf>
    <xf numFmtId="1" fontId="21" fillId="0" borderId="0" xfId="0" applyNumberFormat="1" applyFont="1" applyBorder="1" applyAlignment="1">
      <alignment horizontal="right"/>
    </xf>
    <xf numFmtId="0" fontId="35" fillId="0" borderId="0" xfId="0" applyFont="1"/>
    <xf numFmtId="0" fontId="31" fillId="0" borderId="0" xfId="0" applyFont="1"/>
    <xf numFmtId="0" fontId="45" fillId="0" borderId="0" xfId="0" applyFont="1" applyBorder="1" applyAlignment="1">
      <alignment horizontal="center" vertical="center"/>
    </xf>
    <xf numFmtId="0" fontId="45" fillId="0" borderId="0" xfId="0" applyFont="1" applyBorder="1" applyAlignment="1">
      <alignment horizontal="center"/>
    </xf>
    <xf numFmtId="0" fontId="46" fillId="0" borderId="0" xfId="0" applyFont="1" applyAlignment="1">
      <alignment horizontal="center"/>
    </xf>
    <xf numFmtId="3" fontId="46" fillId="0" borderId="0" xfId="0" applyNumberFormat="1" applyFont="1" applyBorder="1" applyAlignment="1">
      <alignment horizontal="right"/>
    </xf>
    <xf numFmtId="3" fontId="45" fillId="3" borderId="0" xfId="0" applyNumberFormat="1" applyFont="1" applyFill="1" applyBorder="1" applyAlignment="1">
      <alignment horizontal="right"/>
    </xf>
    <xf numFmtId="0" fontId="46" fillId="0" borderId="0" xfId="0" applyFont="1" applyAlignment="1">
      <alignment horizontal="right"/>
    </xf>
    <xf numFmtId="0" fontId="45" fillId="0" borderId="0" xfId="0" applyFont="1" applyBorder="1" applyAlignment="1">
      <alignment horizontal="center" vertical="center" wrapText="1"/>
    </xf>
    <xf numFmtId="0" fontId="47" fillId="0" borderId="0" xfId="0" applyFont="1" applyAlignment="1">
      <alignment horizontal="right"/>
    </xf>
    <xf numFmtId="0" fontId="47" fillId="0" borderId="0" xfId="0" applyFont="1" applyBorder="1" applyAlignment="1">
      <alignment horizontal="right"/>
    </xf>
    <xf numFmtId="0" fontId="48" fillId="0" borderId="0" xfId="0" applyFont="1" applyBorder="1"/>
    <xf numFmtId="0" fontId="48" fillId="0" borderId="0" xfId="0" applyFont="1"/>
    <xf numFmtId="0" fontId="48" fillId="0" borderId="0" xfId="0" applyFont="1" applyFill="1"/>
    <xf numFmtId="0" fontId="46" fillId="0" borderId="0" xfId="0" applyFont="1" applyAlignment="1"/>
    <xf numFmtId="3" fontId="45" fillId="4" borderId="0" xfId="0" applyNumberFormat="1" applyFont="1" applyFill="1" applyBorder="1" applyAlignment="1">
      <alignment horizontal="right"/>
    </xf>
    <xf numFmtId="0" fontId="44" fillId="0" borderId="0" xfId="0" applyFont="1" applyAlignment="1"/>
    <xf numFmtId="0" fontId="49" fillId="0" borderId="0" xfId="0" applyFont="1"/>
    <xf numFmtId="0" fontId="50" fillId="0" borderId="0" xfId="0" applyFont="1" applyAlignment="1">
      <alignment horizontal="center" vertical="center"/>
    </xf>
    <xf numFmtId="0" fontId="51" fillId="0" borderId="0" xfId="0" applyFont="1" applyAlignment="1">
      <alignment horizontal="center"/>
    </xf>
    <xf numFmtId="0" fontId="52" fillId="0" borderId="0" xfId="0" applyFont="1" applyBorder="1" applyAlignment="1">
      <alignment horizontal="center" vertical="center"/>
    </xf>
    <xf numFmtId="0" fontId="53" fillId="0" borderId="0" xfId="0" applyFont="1" applyBorder="1" applyAlignment="1">
      <alignment horizontal="center"/>
    </xf>
    <xf numFmtId="0" fontId="54" fillId="0" borderId="0" xfId="0" applyFont="1" applyAlignment="1">
      <alignment horizontal="center"/>
    </xf>
    <xf numFmtId="0" fontId="52" fillId="0" borderId="0" xfId="0" applyFont="1" applyBorder="1" applyAlignment="1">
      <alignment vertical="center"/>
    </xf>
    <xf numFmtId="0" fontId="54" fillId="0" borderId="0" xfId="0" applyFont="1" applyBorder="1"/>
    <xf numFmtId="0" fontId="54" fillId="0" borderId="0" xfId="0" applyFont="1"/>
    <xf numFmtId="0" fontId="52" fillId="0" borderId="0" xfId="0" applyFont="1" applyAlignment="1">
      <alignment horizontal="center" vertical="center"/>
    </xf>
    <xf numFmtId="0" fontId="51" fillId="0" borderId="0" xfId="0" applyFont="1"/>
    <xf numFmtId="0" fontId="51" fillId="0" borderId="0" xfId="0" applyFont="1" applyBorder="1" applyAlignment="1">
      <alignment vertical="center"/>
    </xf>
    <xf numFmtId="0" fontId="51" fillId="0" borderId="0" xfId="0" applyFont="1" applyBorder="1"/>
    <xf numFmtId="0" fontId="51" fillId="0" borderId="0" xfId="0" applyFont="1" applyAlignment="1"/>
    <xf numFmtId="0" fontId="49" fillId="4" borderId="0" xfId="0" applyFont="1" applyFill="1"/>
    <xf numFmtId="0" fontId="51" fillId="4" borderId="0" xfId="0" applyFont="1" applyFill="1" applyAlignment="1">
      <alignment horizontal="center"/>
    </xf>
    <xf numFmtId="0" fontId="53" fillId="4" borderId="0" xfId="0" applyFont="1" applyFill="1" applyBorder="1" applyAlignment="1">
      <alignment horizontal="center"/>
    </xf>
    <xf numFmtId="0" fontId="51" fillId="4" borderId="0" xfId="0" applyFont="1" applyFill="1"/>
    <xf numFmtId="0" fontId="49" fillId="0" borderId="0" xfId="0" applyFont="1" applyBorder="1"/>
    <xf numFmtId="0" fontId="21" fillId="4" borderId="3" xfId="0" applyFont="1" applyFill="1" applyBorder="1" applyAlignment="1">
      <alignment horizontal="center"/>
    </xf>
    <xf numFmtId="0" fontId="21" fillId="4" borderId="4" xfId="0" applyFont="1" applyFill="1" applyBorder="1" applyAlignment="1">
      <alignment horizontal="center"/>
    </xf>
    <xf numFmtId="0" fontId="22" fillId="4" borderId="9" xfId="0" applyFont="1" applyFill="1" applyBorder="1"/>
    <xf numFmtId="1" fontId="22" fillId="4" borderId="7" xfId="0" applyNumberFormat="1" applyFont="1" applyFill="1" applyBorder="1" applyAlignment="1"/>
    <xf numFmtId="0" fontId="22" fillId="4" borderId="3" xfId="0" applyFont="1" applyFill="1" applyBorder="1" applyAlignment="1">
      <alignment horizontal="right"/>
    </xf>
    <xf numFmtId="3" fontId="22" fillId="4" borderId="4" xfId="0" applyNumberFormat="1" applyFont="1" applyFill="1" applyBorder="1" applyAlignment="1">
      <alignment horizontal="right"/>
    </xf>
    <xf numFmtId="0" fontId="22" fillId="4" borderId="3" xfId="0" applyFont="1" applyFill="1" applyBorder="1" applyAlignment="1">
      <alignment horizontal="center"/>
    </xf>
    <xf numFmtId="0" fontId="9" fillId="4" borderId="3" xfId="0" applyFont="1" applyFill="1" applyBorder="1" applyAlignment="1">
      <alignment horizontal="right"/>
    </xf>
    <xf numFmtId="0" fontId="21" fillId="4" borderId="10" xfId="0" applyFont="1" applyFill="1" applyBorder="1" applyAlignment="1">
      <alignment horizontal="center"/>
    </xf>
    <xf numFmtId="1" fontId="21" fillId="4" borderId="1" xfId="0" applyNumberFormat="1" applyFont="1" applyFill="1" applyBorder="1" applyAlignment="1">
      <alignment horizontal="right"/>
    </xf>
    <xf numFmtId="0" fontId="14" fillId="4" borderId="1" xfId="0" applyFont="1" applyFill="1" applyBorder="1" applyAlignment="1">
      <alignment horizontal="center"/>
    </xf>
    <xf numFmtId="0" fontId="2" fillId="0" borderId="36" xfId="0" applyFont="1" applyBorder="1" applyAlignment="1">
      <alignment vertical="center" wrapText="1"/>
    </xf>
    <xf numFmtId="0" fontId="2" fillId="0" borderId="22" xfId="0" applyFont="1" applyBorder="1" applyAlignment="1">
      <alignment vertical="center" wrapText="1"/>
    </xf>
    <xf numFmtId="3" fontId="32" fillId="0" borderId="18" xfId="0" applyNumberFormat="1" applyFont="1" applyBorder="1" applyAlignment="1">
      <alignment horizontal="right" vertical="center" wrapText="1"/>
    </xf>
    <xf numFmtId="0" fontId="39" fillId="0" borderId="18" xfId="0" applyFont="1" applyBorder="1" applyAlignment="1">
      <alignment horizontal="center" vertical="center" wrapText="1"/>
    </xf>
    <xf numFmtId="0" fontId="32" fillId="0" borderId="0" xfId="0" applyFont="1" applyFill="1" applyBorder="1" applyAlignment="1">
      <alignment horizontal="center" vertical="center"/>
    </xf>
    <xf numFmtId="0" fontId="38" fillId="0" borderId="3" xfId="0" applyFont="1" applyFill="1" applyBorder="1" applyAlignment="1">
      <alignment horizontal="right" vertical="center"/>
    </xf>
    <xf numFmtId="0" fontId="17" fillId="0" borderId="12" xfId="0" applyFont="1" applyBorder="1" applyAlignment="1">
      <alignment horizontal="center" vertical="center" wrapText="1"/>
    </xf>
    <xf numFmtId="14" fontId="17" fillId="0" borderId="12" xfId="0" applyNumberFormat="1" applyFont="1" applyBorder="1" applyAlignment="1">
      <alignment horizontal="center" vertical="center" wrapText="1"/>
    </xf>
    <xf numFmtId="0" fontId="19" fillId="0" borderId="12" xfId="0" applyFont="1" applyBorder="1" applyAlignment="1">
      <alignment horizontal="center" vertical="center" wrapText="1"/>
    </xf>
    <xf numFmtId="0" fontId="55" fillId="0" borderId="0" xfId="0" applyFont="1" applyAlignment="1">
      <alignment vertical="center" wrapText="1"/>
    </xf>
    <xf numFmtId="0" fontId="31" fillId="0" borderId="3" xfId="0" applyFont="1" applyBorder="1" applyAlignment="1">
      <alignment horizontal="justify" wrapText="1"/>
    </xf>
    <xf numFmtId="1" fontId="17" fillId="0" borderId="0" xfId="0" applyNumberFormat="1" applyFont="1" applyBorder="1" applyAlignment="1">
      <alignment horizontal="center" vertical="center" wrapText="1"/>
    </xf>
    <xf numFmtId="0" fontId="0" fillId="0" borderId="3" xfId="0" applyBorder="1" applyAlignment="1">
      <alignment horizontal="justify" vertical="center" wrapText="1"/>
    </xf>
    <xf numFmtId="0" fontId="57" fillId="0" borderId="0" xfId="0" applyFont="1" applyAlignment="1">
      <alignment vertical="center" wrapText="1"/>
    </xf>
    <xf numFmtId="0" fontId="1" fillId="0" borderId="3" xfId="0" applyFont="1" applyBorder="1" applyAlignment="1">
      <alignment horizontal="justify" vertical="center" wrapText="1"/>
    </xf>
    <xf numFmtId="0" fontId="58" fillId="0" borderId="0" xfId="0" applyFont="1" applyAlignment="1">
      <alignment vertical="center" wrapText="1"/>
    </xf>
    <xf numFmtId="14" fontId="17" fillId="0" borderId="0" xfId="0" applyNumberFormat="1" applyFont="1" applyFill="1" applyBorder="1" applyAlignment="1">
      <alignment horizontal="center" vertical="center" wrapText="1"/>
    </xf>
    <xf numFmtId="0" fontId="19" fillId="0" borderId="0" xfId="0" applyFont="1" applyFill="1" applyBorder="1" applyAlignment="1">
      <alignment horizontal="center" vertical="center" wrapText="1"/>
    </xf>
    <xf numFmtId="0" fontId="56" fillId="0" borderId="0" xfId="0" applyFont="1" applyAlignment="1">
      <alignment vertical="center" wrapText="1"/>
    </xf>
    <xf numFmtId="0" fontId="57" fillId="0" borderId="3" xfId="0" applyFont="1" applyBorder="1" applyAlignment="1">
      <alignment vertical="center"/>
    </xf>
    <xf numFmtId="0" fontId="58" fillId="0" borderId="0" xfId="0" applyFont="1" applyAlignment="1">
      <alignment wrapText="1"/>
    </xf>
    <xf numFmtId="0" fontId="18" fillId="0" borderId="0" xfId="0" applyFont="1" applyAlignment="1">
      <alignment horizontal="center"/>
    </xf>
    <xf numFmtId="0" fontId="20" fillId="0" borderId="3" xfId="0" applyFont="1" applyFill="1" applyBorder="1" applyAlignment="1">
      <alignment horizontal="center" vertical="center" wrapText="1"/>
    </xf>
    <xf numFmtId="14" fontId="20" fillId="0" borderId="3" xfId="0" applyNumberFormat="1" applyFont="1" applyFill="1" applyBorder="1" applyAlignment="1">
      <alignment horizontal="center" vertical="center" wrapText="1"/>
    </xf>
    <xf numFmtId="0" fontId="63" fillId="0" borderId="3" xfId="0" applyFont="1" applyFill="1" applyBorder="1" applyAlignment="1">
      <alignment horizontal="center" vertical="center" wrapText="1"/>
    </xf>
    <xf numFmtId="0" fontId="61" fillId="0" borderId="3" xfId="0" applyFont="1" applyFill="1" applyBorder="1" applyAlignment="1">
      <alignment vertical="top"/>
    </xf>
    <xf numFmtId="14" fontId="61" fillId="0" borderId="3" xfId="0" applyNumberFormat="1" applyFont="1" applyFill="1" applyBorder="1" applyAlignment="1">
      <alignment vertical="top"/>
    </xf>
    <xf numFmtId="0" fontId="61" fillId="0" borderId="3" xfId="0" applyFont="1" applyFill="1" applyBorder="1" applyAlignment="1">
      <alignment horizontal="center" vertical="top"/>
    </xf>
    <xf numFmtId="1" fontId="20" fillId="0" borderId="3" xfId="0" applyNumberFormat="1" applyFont="1" applyFill="1" applyBorder="1" applyAlignment="1">
      <alignment horizontal="center" vertical="center" wrapText="1"/>
    </xf>
    <xf numFmtId="0" fontId="60" fillId="0" borderId="3"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61" fillId="0" borderId="3" xfId="0" applyFont="1" applyFill="1" applyBorder="1" applyAlignment="1">
      <alignment horizontal="justify" vertical="center" wrapText="1"/>
    </xf>
    <xf numFmtId="0" fontId="13" fillId="0" borderId="3" xfId="0" applyFont="1" applyFill="1" applyBorder="1"/>
    <xf numFmtId="1" fontId="20" fillId="0" borderId="3" xfId="0" applyNumberFormat="1" applyFont="1" applyFill="1" applyBorder="1" applyAlignment="1">
      <alignment vertical="top" wrapText="1"/>
    </xf>
    <xf numFmtId="0" fontId="4" fillId="0" borderId="3" xfId="0" applyFont="1" applyFill="1" applyBorder="1" applyAlignment="1">
      <alignment horizontal="center" vertical="center" wrapText="1"/>
    </xf>
    <xf numFmtId="0" fontId="20" fillId="0" borderId="3" xfId="0" applyFont="1" applyFill="1" applyBorder="1" applyAlignment="1">
      <alignment vertical="center" wrapText="1"/>
    </xf>
    <xf numFmtId="0" fontId="20" fillId="0" borderId="3" xfId="0" applyFont="1" applyFill="1" applyBorder="1" applyAlignment="1">
      <alignment horizontal="justify" vertical="center" wrapText="1"/>
    </xf>
    <xf numFmtId="14" fontId="13" fillId="0" borderId="3" xfId="0" applyNumberFormat="1" applyFont="1" applyFill="1" applyBorder="1"/>
    <xf numFmtId="0" fontId="13" fillId="0" borderId="3" xfId="0" applyFont="1" applyFill="1" applyBorder="1" applyAlignment="1">
      <alignment horizontal="center"/>
    </xf>
    <xf numFmtId="0" fontId="61" fillId="0" borderId="3" xfId="0" applyFont="1" applyFill="1" applyBorder="1" applyAlignment="1">
      <alignment vertical="top" wrapText="1"/>
    </xf>
    <xf numFmtId="14" fontId="61" fillId="0" borderId="3" xfId="0" applyNumberFormat="1" applyFont="1" applyFill="1" applyBorder="1" applyAlignment="1">
      <alignment vertical="top" wrapText="1"/>
    </xf>
    <xf numFmtId="0" fontId="61" fillId="0" borderId="3" xfId="0" applyFont="1" applyFill="1" applyBorder="1" applyAlignment="1">
      <alignment horizontal="center" vertical="top" wrapText="1"/>
    </xf>
    <xf numFmtId="0" fontId="64" fillId="0" borderId="3" xfId="0" applyFont="1" applyFill="1" applyBorder="1" applyAlignment="1">
      <alignment horizontal="justify" wrapText="1"/>
    </xf>
    <xf numFmtId="0" fontId="62" fillId="0" borderId="3" xfId="0" applyFont="1" applyFill="1" applyBorder="1" applyAlignment="1">
      <alignment vertical="center" wrapText="1"/>
    </xf>
    <xf numFmtId="0" fontId="62" fillId="0" borderId="3" xfId="0" applyFont="1" applyFill="1" applyBorder="1" applyAlignment="1">
      <alignment horizontal="justify" vertical="center" wrapText="1"/>
    </xf>
    <xf numFmtId="0" fontId="62" fillId="0" borderId="3" xfId="0" applyFont="1" applyFill="1" applyBorder="1" applyAlignment="1">
      <alignment horizontal="justify" vertical="center"/>
    </xf>
    <xf numFmtId="0" fontId="61" fillId="0" borderId="3" xfId="0" applyFont="1" applyFill="1" applyBorder="1" applyAlignment="1">
      <alignment horizontal="center" vertical="center" wrapText="1"/>
    </xf>
    <xf numFmtId="0" fontId="20" fillId="0" borderId="3" xfId="0" applyFont="1" applyFill="1" applyBorder="1" applyAlignment="1">
      <alignment horizontal="justify" vertical="center"/>
    </xf>
    <xf numFmtId="0" fontId="17" fillId="0" borderId="3" xfId="0" applyFont="1" applyFill="1" applyBorder="1" applyAlignment="1">
      <alignment vertical="top" wrapText="1"/>
    </xf>
    <xf numFmtId="0" fontId="62" fillId="0" borderId="3" xfId="0" applyFont="1" applyFill="1" applyBorder="1" applyAlignment="1">
      <alignment wrapText="1"/>
    </xf>
    <xf numFmtId="0" fontId="0" fillId="0" borderId="3" xfId="0" applyFill="1" applyBorder="1"/>
    <xf numFmtId="3" fontId="61" fillId="0" borderId="3" xfId="0" applyNumberFormat="1" applyFont="1" applyFill="1" applyBorder="1" applyAlignment="1">
      <alignment horizontal="center" vertical="center" wrapText="1"/>
    </xf>
    <xf numFmtId="0" fontId="62" fillId="0" borderId="3" xfId="0" applyFont="1" applyBorder="1" applyAlignment="1">
      <alignment vertical="center" wrapText="1"/>
    </xf>
    <xf numFmtId="1" fontId="20" fillId="6" borderId="3" xfId="0" applyNumberFormat="1" applyFont="1" applyFill="1" applyBorder="1" applyAlignment="1">
      <alignment horizontal="center" vertical="center" wrapText="1"/>
    </xf>
    <xf numFmtId="0" fontId="17" fillId="6" borderId="3" xfId="1" applyFont="1" applyFill="1" applyBorder="1" applyAlignment="1">
      <alignment horizontal="left" vertical="top" wrapText="1"/>
    </xf>
    <xf numFmtId="14" fontId="17" fillId="6" borderId="3" xfId="1" applyNumberFormat="1" applyFont="1" applyFill="1" applyBorder="1" applyAlignment="1">
      <alignment horizontal="center" vertical="top" wrapText="1"/>
    </xf>
    <xf numFmtId="0" fontId="20" fillId="6" borderId="3" xfId="0" applyFont="1" applyFill="1" applyBorder="1" applyAlignment="1">
      <alignment horizontal="center" vertical="center" wrapText="1"/>
    </xf>
    <xf numFmtId="0" fontId="63" fillId="6" borderId="3" xfId="0" applyFont="1" applyFill="1" applyBorder="1" applyAlignment="1">
      <alignment horizontal="center" vertical="center" wrapText="1"/>
    </xf>
    <xf numFmtId="0" fontId="20" fillId="6" borderId="3" xfId="0" applyFont="1" applyFill="1" applyBorder="1" applyAlignment="1">
      <alignment horizontal="justify" vertical="center"/>
    </xf>
    <xf numFmtId="1" fontId="33" fillId="0" borderId="3" xfId="0" applyNumberFormat="1" applyFont="1" applyFill="1" applyBorder="1" applyAlignment="1">
      <alignment horizontal="center" vertical="center"/>
    </xf>
    <xf numFmtId="1" fontId="32" fillId="0" borderId="1" xfId="0" applyNumberFormat="1" applyFont="1" applyFill="1" applyBorder="1" applyAlignment="1">
      <alignment horizontal="center" vertical="center"/>
    </xf>
    <xf numFmtId="0" fontId="17" fillId="0" borderId="3" xfId="0" applyFont="1" applyBorder="1"/>
    <xf numFmtId="0" fontId="20" fillId="0" borderId="3" xfId="0" applyFont="1" applyBorder="1"/>
    <xf numFmtId="0" fontId="1" fillId="0" borderId="0" xfId="0" applyFont="1" applyFill="1"/>
    <xf numFmtId="0" fontId="6" fillId="0" borderId="33" xfId="0" applyFont="1" applyFill="1" applyBorder="1" applyAlignment="1">
      <alignment vertical="center"/>
    </xf>
    <xf numFmtId="3" fontId="6" fillId="0" borderId="0" xfId="0" applyNumberFormat="1" applyFont="1" applyFill="1" applyAlignment="1">
      <alignment vertical="center"/>
    </xf>
    <xf numFmtId="167" fontId="33" fillId="0" borderId="0" xfId="0" applyNumberFormat="1" applyFont="1" applyFill="1" applyBorder="1" applyAlignment="1">
      <alignment horizontal="center" vertical="center"/>
    </xf>
    <xf numFmtId="168" fontId="6" fillId="0" borderId="0" xfId="0" applyNumberFormat="1" applyFont="1" applyFill="1" applyAlignment="1">
      <alignment vertical="center"/>
    </xf>
    <xf numFmtId="168" fontId="33" fillId="0" borderId="0" xfId="0" applyNumberFormat="1" applyFont="1" applyFill="1" applyBorder="1" applyAlignment="1">
      <alignment horizontal="center" vertical="center"/>
    </xf>
    <xf numFmtId="170" fontId="33" fillId="0" borderId="0" xfId="0" applyNumberFormat="1" applyFont="1" applyFill="1" applyBorder="1" applyAlignment="1">
      <alignment horizontal="center" vertical="center"/>
    </xf>
    <xf numFmtId="171" fontId="33" fillId="0" borderId="0" xfId="5" applyNumberFormat="1" applyFont="1" applyFill="1" applyBorder="1" applyAlignment="1">
      <alignment horizontal="center" vertical="center"/>
    </xf>
    <xf numFmtId="0" fontId="20" fillId="0" borderId="0" xfId="0" applyFont="1" applyFill="1" applyAlignment="1">
      <alignment vertical="center"/>
    </xf>
    <xf numFmtId="0" fontId="62" fillId="0" borderId="0" xfId="0" applyFont="1" applyFill="1" applyBorder="1" applyAlignment="1">
      <alignment horizontal="center" vertical="center"/>
    </xf>
    <xf numFmtId="0" fontId="20" fillId="0" borderId="33" xfId="0" applyFont="1" applyFill="1" applyBorder="1" applyAlignment="1">
      <alignment vertical="center"/>
    </xf>
    <xf numFmtId="0" fontId="20" fillId="0" borderId="0" xfId="0" applyFont="1" applyFill="1" applyBorder="1" applyAlignment="1">
      <alignment vertical="center"/>
    </xf>
    <xf numFmtId="167" fontId="62" fillId="0" borderId="0" xfId="0" applyNumberFormat="1" applyFont="1" applyFill="1" applyBorder="1" applyAlignment="1">
      <alignment horizontal="center" vertical="center"/>
    </xf>
    <xf numFmtId="0" fontId="32" fillId="0" borderId="0" xfId="0" applyFont="1" applyFill="1" applyBorder="1" applyAlignment="1">
      <alignment vertical="center"/>
    </xf>
    <xf numFmtId="0" fontId="33" fillId="0" borderId="33" xfId="0" applyFont="1" applyFill="1" applyBorder="1" applyAlignment="1">
      <alignment horizontal="center" vertical="center"/>
    </xf>
    <xf numFmtId="0" fontId="33" fillId="0" borderId="54" xfId="0" applyFont="1" applyFill="1" applyBorder="1" applyAlignment="1">
      <alignment horizontal="center" vertical="center"/>
    </xf>
    <xf numFmtId="170" fontId="33" fillId="0" borderId="33" xfId="0" applyNumberFormat="1" applyFont="1" applyFill="1" applyBorder="1" applyAlignment="1">
      <alignment horizontal="center" vertical="center"/>
    </xf>
    <xf numFmtId="0" fontId="22" fillId="0" borderId="54" xfId="0" applyFont="1" applyFill="1" applyBorder="1" applyAlignment="1">
      <alignment vertical="center"/>
    </xf>
    <xf numFmtId="0" fontId="22" fillId="0" borderId="0" xfId="0" applyFont="1" applyFill="1" applyBorder="1" applyAlignment="1">
      <alignment vertical="center"/>
    </xf>
    <xf numFmtId="0" fontId="22" fillId="0" borderId="51" xfId="0" applyFont="1" applyFill="1" applyBorder="1" applyAlignment="1">
      <alignment vertical="center"/>
    </xf>
    <xf numFmtId="0" fontId="22" fillId="0" borderId="52" xfId="0" applyFont="1" applyFill="1" applyBorder="1" applyAlignment="1">
      <alignment vertical="center"/>
    </xf>
    <xf numFmtId="0" fontId="22" fillId="0" borderId="33" xfId="0" applyFont="1" applyFill="1" applyBorder="1" applyAlignment="1">
      <alignment vertical="center"/>
    </xf>
    <xf numFmtId="0" fontId="22" fillId="0" borderId="0" xfId="0" applyFont="1" applyFill="1" applyAlignment="1">
      <alignment vertical="center"/>
    </xf>
    <xf numFmtId="0" fontId="22" fillId="0" borderId="55" xfId="0" applyFont="1" applyFill="1" applyBorder="1" applyAlignment="1">
      <alignment vertical="center"/>
    </xf>
    <xf numFmtId="0" fontId="22" fillId="0" borderId="48" xfId="0" applyFont="1" applyFill="1" applyBorder="1" applyAlignment="1">
      <alignment vertical="center"/>
    </xf>
    <xf numFmtId="169" fontId="22" fillId="0" borderId="52" xfId="0" applyNumberFormat="1" applyFont="1" applyFill="1" applyBorder="1" applyAlignment="1">
      <alignment vertical="center"/>
    </xf>
    <xf numFmtId="3" fontId="22" fillId="0" borderId="54" xfId="0" applyNumberFormat="1" applyFont="1" applyFill="1" applyBorder="1" applyAlignment="1">
      <alignment vertical="center"/>
    </xf>
    <xf numFmtId="3" fontId="22" fillId="0" borderId="33" xfId="0" applyNumberFormat="1" applyFont="1" applyFill="1" applyBorder="1" applyAlignment="1">
      <alignment vertical="center"/>
    </xf>
    <xf numFmtId="168" fontId="22" fillId="0" borderId="0" xfId="0" applyNumberFormat="1" applyFont="1" applyFill="1" applyAlignment="1">
      <alignment vertical="center"/>
    </xf>
    <xf numFmtId="164" fontId="22" fillId="0" borderId="0" xfId="5" applyFont="1" applyFill="1" applyAlignment="1">
      <alignment vertical="center"/>
    </xf>
    <xf numFmtId="3" fontId="22" fillId="0" borderId="0" xfId="0" applyNumberFormat="1" applyFont="1" applyFill="1" applyAlignment="1">
      <alignment vertical="center"/>
    </xf>
    <xf numFmtId="49" fontId="36" fillId="0" borderId="0" xfId="0" applyNumberFormat="1" applyFont="1" applyFill="1"/>
    <xf numFmtId="0" fontId="20" fillId="0" borderId="48" xfId="0" applyFont="1" applyFill="1" applyBorder="1" applyAlignment="1">
      <alignment vertical="center"/>
    </xf>
    <xf numFmtId="168" fontId="62" fillId="0" borderId="51" xfId="0" applyNumberFormat="1" applyFont="1" applyFill="1" applyBorder="1" applyAlignment="1">
      <alignment horizontal="center" vertical="center"/>
    </xf>
    <xf numFmtId="167" fontId="20" fillId="0" borderId="51" xfId="0" applyNumberFormat="1" applyFont="1" applyFill="1" applyBorder="1" applyAlignment="1">
      <alignment vertical="center"/>
    </xf>
    <xf numFmtId="168" fontId="33" fillId="0" borderId="51" xfId="0" applyNumberFormat="1" applyFont="1" applyFill="1" applyBorder="1" applyAlignment="1">
      <alignment horizontal="center" vertical="center"/>
    </xf>
    <xf numFmtId="170" fontId="33" fillId="0" borderId="54" xfId="0" applyNumberFormat="1" applyFont="1" applyFill="1" applyBorder="1" applyAlignment="1">
      <alignment horizontal="center" vertical="center"/>
    </xf>
    <xf numFmtId="0" fontId="33" fillId="0" borderId="51" xfId="0" applyFont="1" applyFill="1" applyBorder="1" applyAlignment="1">
      <alignment horizontal="center" vertical="center"/>
    </xf>
    <xf numFmtId="0" fontId="32" fillId="0" borderId="3" xfId="0" applyFont="1" applyBorder="1" applyAlignment="1">
      <alignment vertical="center"/>
    </xf>
    <xf numFmtId="0" fontId="39" fillId="0" borderId="3" xfId="0" applyFont="1" applyBorder="1" applyAlignment="1">
      <alignment horizontal="center" vertical="center"/>
    </xf>
    <xf numFmtId="3" fontId="32" fillId="0" borderId="3" xfId="0" applyNumberFormat="1" applyFont="1" applyBorder="1" applyAlignment="1">
      <alignment horizontal="right" vertical="center"/>
    </xf>
    <xf numFmtId="1" fontId="32" fillId="0" borderId="0" xfId="0" applyNumberFormat="1" applyFont="1" applyFill="1" applyBorder="1" applyAlignment="1">
      <alignment horizontal="center" vertical="center"/>
    </xf>
    <xf numFmtId="0" fontId="39" fillId="0" borderId="0" xfId="0" applyFont="1" applyFill="1" applyBorder="1" applyAlignment="1">
      <alignment horizontal="center" vertical="center"/>
    </xf>
    <xf numFmtId="3" fontId="32" fillId="0" borderId="0" xfId="0" applyNumberFormat="1" applyFont="1" applyFill="1" applyBorder="1" applyAlignment="1">
      <alignment horizontal="right" vertical="center"/>
    </xf>
    <xf numFmtId="0" fontId="10" fillId="0" borderId="0" xfId="0" applyFont="1" applyFill="1" applyAlignment="1">
      <alignment horizontal="right"/>
    </xf>
    <xf numFmtId="0" fontId="10" fillId="0" borderId="48" xfId="0" applyFont="1" applyFill="1" applyBorder="1"/>
    <xf numFmtId="0" fontId="10" fillId="0" borderId="50" xfId="0" applyFont="1" applyFill="1" applyBorder="1"/>
    <xf numFmtId="0" fontId="10" fillId="0" borderId="0" xfId="0" applyFont="1" applyFill="1"/>
    <xf numFmtId="0" fontId="10" fillId="0" borderId="54" xfId="0" applyFont="1" applyFill="1" applyBorder="1"/>
    <xf numFmtId="0" fontId="10" fillId="0" borderId="55" xfId="0" applyFont="1" applyFill="1" applyBorder="1"/>
    <xf numFmtId="3" fontId="22" fillId="0" borderId="0" xfId="0" applyNumberFormat="1" applyFont="1" applyFill="1" applyBorder="1" applyAlignment="1">
      <alignment vertical="center"/>
    </xf>
    <xf numFmtId="0" fontId="17" fillId="0" borderId="3" xfId="0" applyFont="1" applyBorder="1" applyAlignment="1">
      <alignment horizontal="center"/>
    </xf>
    <xf numFmtId="0" fontId="20" fillId="0" borderId="51" xfId="0" applyFont="1" applyFill="1" applyBorder="1" applyAlignment="1">
      <alignment horizontal="center" vertical="center"/>
    </xf>
    <xf numFmtId="0" fontId="61" fillId="0" borderId="0" xfId="0" applyFont="1" applyFill="1" applyBorder="1" applyAlignment="1">
      <alignment vertical="center"/>
    </xf>
    <xf numFmtId="0" fontId="20" fillId="0" borderId="52" xfId="0" applyFont="1" applyFill="1" applyBorder="1" applyAlignment="1">
      <alignment vertical="center"/>
    </xf>
    <xf numFmtId="0" fontId="20" fillId="0" borderId="54" xfId="0" applyFont="1" applyFill="1" applyBorder="1" applyAlignment="1">
      <alignment vertical="center"/>
    </xf>
    <xf numFmtId="0" fontId="62" fillId="0" borderId="33" xfId="0" applyFont="1" applyFill="1" applyBorder="1" applyAlignment="1">
      <alignment horizontal="center" vertical="center"/>
    </xf>
    <xf numFmtId="0" fontId="20" fillId="0" borderId="55" xfId="0" applyFont="1" applyFill="1" applyBorder="1" applyAlignment="1">
      <alignment vertical="center"/>
    </xf>
    <xf numFmtId="1" fontId="20" fillId="0" borderId="52" xfId="0" applyNumberFormat="1" applyFont="1" applyFill="1" applyBorder="1" applyAlignment="1">
      <alignment vertical="center"/>
    </xf>
    <xf numFmtId="3" fontId="20" fillId="0" borderId="54" xfId="0" applyNumberFormat="1" applyFont="1" applyFill="1" applyBorder="1" applyAlignment="1">
      <alignment vertical="center"/>
    </xf>
    <xf numFmtId="3" fontId="20" fillId="0" borderId="33" xfId="0" applyNumberFormat="1" applyFont="1" applyFill="1" applyBorder="1" applyAlignment="1">
      <alignment vertical="center"/>
    </xf>
    <xf numFmtId="170" fontId="62" fillId="0" borderId="54" xfId="0" applyNumberFormat="1" applyFont="1" applyFill="1" applyBorder="1" applyAlignment="1">
      <alignment horizontal="center" vertical="center"/>
    </xf>
    <xf numFmtId="168" fontId="22" fillId="0" borderId="52" xfId="0" applyNumberFormat="1" applyFont="1" applyFill="1" applyBorder="1" applyAlignment="1">
      <alignment vertical="center"/>
    </xf>
    <xf numFmtId="164" fontId="22" fillId="0" borderId="54" xfId="5" applyFont="1" applyFill="1" applyBorder="1" applyAlignment="1">
      <alignment vertical="center"/>
    </xf>
    <xf numFmtId="164" fontId="22" fillId="0" borderId="33" xfId="5" applyFont="1" applyFill="1" applyBorder="1" applyAlignment="1">
      <alignment vertical="center"/>
    </xf>
    <xf numFmtId="0" fontId="62" fillId="0" borderId="3" xfId="0" applyFont="1" applyBorder="1" applyAlignment="1">
      <alignment horizontal="justify" wrapText="1"/>
    </xf>
    <xf numFmtId="1" fontId="20" fillId="0" borderId="3" xfId="0" applyNumberFormat="1" applyFont="1" applyFill="1" applyBorder="1" applyAlignment="1">
      <alignment horizontal="justify" vertical="top" wrapText="1"/>
    </xf>
    <xf numFmtId="0" fontId="18" fillId="0" borderId="3" xfId="0" applyFont="1" applyBorder="1" applyAlignment="1">
      <alignment horizontal="center" vertical="center"/>
    </xf>
    <xf numFmtId="0" fontId="18" fillId="0" borderId="3" xfId="0" applyFont="1" applyBorder="1" applyAlignment="1">
      <alignment horizontal="center" vertical="center" wrapText="1"/>
    </xf>
    <xf numFmtId="172" fontId="0" fillId="0" borderId="0" xfId="5" applyNumberFormat="1" applyFont="1"/>
    <xf numFmtId="14" fontId="20" fillId="6" borderId="3" xfId="0" applyNumberFormat="1" applyFont="1" applyFill="1" applyBorder="1" applyAlignment="1">
      <alignment horizontal="center" vertical="center" wrapText="1"/>
    </xf>
    <xf numFmtId="0" fontId="20" fillId="6" borderId="3" xfId="0" applyFont="1" applyFill="1" applyBorder="1" applyAlignment="1">
      <alignment horizontal="justify" vertical="center" wrapText="1"/>
    </xf>
    <xf numFmtId="0" fontId="13" fillId="0" borderId="19" xfId="0" applyFont="1" applyBorder="1" applyAlignment="1">
      <alignment horizontal="justify" vertical="center" wrapText="1"/>
    </xf>
    <xf numFmtId="0" fontId="62" fillId="0" borderId="19" xfId="0" applyFont="1" applyBorder="1" applyAlignment="1">
      <alignment horizontal="justify" vertical="center" wrapText="1"/>
    </xf>
    <xf numFmtId="0" fontId="31" fillId="6" borderId="3" xfId="0" applyFont="1" applyFill="1" applyBorder="1" applyAlignment="1">
      <alignment wrapText="1"/>
    </xf>
    <xf numFmtId="0" fontId="31" fillId="6" borderId="3" xfId="0" applyFont="1" applyFill="1" applyBorder="1" applyAlignment="1">
      <alignment horizontal="justify" vertical="center"/>
    </xf>
    <xf numFmtId="0" fontId="18" fillId="6" borderId="16" xfId="0" applyFont="1" applyFill="1" applyBorder="1" applyAlignment="1">
      <alignment horizontal="center" vertical="center" wrapText="1" shrinkToFit="1"/>
    </xf>
    <xf numFmtId="0" fontId="18" fillId="6" borderId="3" xfId="0" applyFont="1" applyFill="1" applyBorder="1" applyAlignment="1">
      <alignment horizontal="center" vertical="center" wrapText="1"/>
    </xf>
    <xf numFmtId="0" fontId="18"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32" fillId="0" borderId="3" xfId="0" applyFont="1" applyFill="1" applyBorder="1" applyAlignment="1">
      <alignment horizontal="center" vertical="center"/>
    </xf>
    <xf numFmtId="0" fontId="32" fillId="0" borderId="4" xfId="0" applyFont="1" applyFill="1" applyBorder="1" applyAlignment="1">
      <alignment horizontal="center" vertical="center"/>
    </xf>
    <xf numFmtId="0" fontId="6" fillId="0" borderId="0" xfId="0" applyFont="1" applyFill="1" applyAlignment="1">
      <alignment vertical="center"/>
    </xf>
    <xf numFmtId="0" fontId="40" fillId="0" borderId="0" xfId="0" applyFont="1" applyFill="1" applyBorder="1" applyAlignment="1">
      <alignment horizontal="center" vertical="center"/>
    </xf>
    <xf numFmtId="0" fontId="37" fillId="0" borderId="0" xfId="0" applyFont="1" applyFill="1" applyBorder="1" applyAlignment="1">
      <alignment vertical="center"/>
    </xf>
    <xf numFmtId="0" fontId="22" fillId="0" borderId="51" xfId="0" applyFont="1" applyFill="1" applyBorder="1" applyAlignment="1">
      <alignment horizontal="center" vertical="center"/>
    </xf>
    <xf numFmtId="0" fontId="22"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61" fillId="0" borderId="19" xfId="0" applyFont="1" applyBorder="1" applyAlignment="1">
      <alignment horizontal="justify" vertical="center" wrapText="1"/>
    </xf>
    <xf numFmtId="0" fontId="20" fillId="0" borderId="19" xfId="0" applyFont="1" applyBorder="1" applyAlignment="1">
      <alignment horizontal="justify" vertical="center" wrapText="1"/>
    </xf>
    <xf numFmtId="0" fontId="62" fillId="0" borderId="19" xfId="0" applyFont="1" applyBorder="1" applyAlignment="1">
      <alignment vertical="center" wrapText="1"/>
    </xf>
    <xf numFmtId="0" fontId="61" fillId="0" borderId="19" xfId="0" applyFont="1" applyBorder="1" applyAlignment="1">
      <alignment vertical="center" wrapText="1"/>
    </xf>
    <xf numFmtId="14" fontId="20" fillId="0" borderId="3" xfId="0" applyNumberFormat="1" applyFont="1" applyFill="1" applyBorder="1" applyAlignment="1">
      <alignment horizontal="justify" vertical="top" wrapText="1"/>
    </xf>
    <xf numFmtId="14" fontId="20" fillId="0" borderId="3" xfId="0" applyNumberFormat="1" applyFont="1" applyFill="1" applyBorder="1" applyAlignment="1">
      <alignment horizontal="justify" vertical="center" wrapText="1"/>
    </xf>
    <xf numFmtId="14" fontId="62" fillId="0" borderId="3" xfId="0" applyNumberFormat="1" applyFont="1" applyBorder="1" applyAlignment="1">
      <alignment horizontal="justify" wrapText="1"/>
    </xf>
    <xf numFmtId="1" fontId="33" fillId="0" borderId="3" xfId="0" applyNumberFormat="1" applyFont="1" applyFill="1" applyBorder="1" applyAlignment="1">
      <alignment horizontal="right" vertical="center"/>
    </xf>
    <xf numFmtId="0" fontId="33" fillId="0" borderId="52" xfId="0" applyFont="1" applyFill="1" applyBorder="1" applyAlignment="1">
      <alignment horizontal="center" vertical="center"/>
    </xf>
    <xf numFmtId="0" fontId="33" fillId="0" borderId="55" xfId="0" applyFont="1" applyFill="1" applyBorder="1" applyAlignment="1">
      <alignment horizontal="center" vertical="center"/>
    </xf>
    <xf numFmtId="0" fontId="17" fillId="6" borderId="3" xfId="0" applyFont="1" applyFill="1" applyBorder="1" applyAlignment="1">
      <alignment horizontal="center"/>
    </xf>
    <xf numFmtId="0" fontId="18" fillId="6" borderId="3" xfId="0" applyFont="1" applyFill="1" applyBorder="1" applyAlignment="1">
      <alignment horizontal="center" vertical="center" wrapText="1"/>
    </xf>
    <xf numFmtId="1" fontId="33" fillId="0" borderId="3" xfId="0" applyNumberFormat="1" applyFont="1" applyBorder="1" applyAlignment="1">
      <alignment horizontal="center" vertical="center"/>
    </xf>
    <xf numFmtId="1" fontId="32" fillId="0" borderId="3" xfId="0" applyNumberFormat="1" applyFont="1" applyBorder="1" applyAlignment="1">
      <alignment horizontal="center" vertical="center"/>
    </xf>
    <xf numFmtId="0" fontId="18" fillId="0" borderId="8" xfId="1" applyFont="1" applyFill="1" applyBorder="1" applyAlignment="1">
      <alignment horizontal="center" vertical="center" wrapText="1"/>
    </xf>
    <xf numFmtId="0" fontId="18" fillId="0" borderId="56"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20" fillId="6" borderId="3" xfId="0" applyFont="1" applyFill="1" applyBorder="1" applyAlignment="1">
      <alignment vertical="center" wrapText="1"/>
    </xf>
    <xf numFmtId="14" fontId="20" fillId="6" borderId="3" xfId="0" applyNumberFormat="1" applyFont="1" applyFill="1" applyBorder="1" applyAlignment="1">
      <alignment vertical="center" wrapText="1"/>
    </xf>
    <xf numFmtId="0" fontId="64" fillId="6" borderId="3" xfId="0" applyFont="1" applyFill="1" applyBorder="1" applyAlignment="1">
      <alignment horizontal="justify" wrapText="1"/>
    </xf>
    <xf numFmtId="0" fontId="20" fillId="6" borderId="3" xfId="1" applyFont="1" applyFill="1" applyBorder="1" applyAlignment="1">
      <alignment horizontal="left" vertical="top" wrapText="1"/>
    </xf>
    <xf numFmtId="14" fontId="20" fillId="6" borderId="3" xfId="1" applyNumberFormat="1" applyFont="1" applyFill="1" applyBorder="1" applyAlignment="1">
      <alignment horizontal="center" vertical="top" wrapText="1"/>
    </xf>
    <xf numFmtId="0" fontId="17" fillId="6" borderId="3" xfId="0" applyFont="1" applyFill="1" applyBorder="1" applyAlignment="1">
      <alignment wrapText="1"/>
    </xf>
    <xf numFmtId="14" fontId="17" fillId="6" borderId="3" xfId="0" applyNumberFormat="1" applyFont="1" applyFill="1" applyBorder="1" applyAlignment="1"/>
    <xf numFmtId="0" fontId="61" fillId="6" borderId="3" xfId="0" applyFont="1" applyFill="1" applyBorder="1" applyAlignment="1">
      <alignment horizontal="center" vertical="center" wrapText="1"/>
    </xf>
    <xf numFmtId="0" fontId="20" fillId="6" borderId="3" xfId="0" applyFont="1" applyFill="1" applyBorder="1"/>
    <xf numFmtId="0" fontId="17" fillId="6" borderId="3" xfId="0" applyFont="1" applyFill="1" applyBorder="1" applyAlignment="1">
      <alignment horizontal="left" vertical="top" wrapText="1"/>
    </xf>
    <xf numFmtId="1" fontId="17" fillId="6" borderId="3" xfId="0" applyNumberFormat="1" applyFont="1" applyFill="1" applyBorder="1" applyAlignment="1">
      <alignment horizontal="center" vertical="center" wrapText="1"/>
    </xf>
    <xf numFmtId="0" fontId="17" fillId="6" borderId="3" xfId="0" applyFont="1" applyFill="1" applyBorder="1" applyAlignment="1">
      <alignment horizontal="center" vertical="top" wrapText="1"/>
    </xf>
    <xf numFmtId="14" fontId="17" fillId="6" borderId="3" xfId="0" applyNumberFormat="1" applyFont="1" applyFill="1" applyBorder="1" applyAlignment="1">
      <alignment horizontal="center" vertical="top" wrapText="1"/>
    </xf>
    <xf numFmtId="0" fontId="18" fillId="6" borderId="3" xfId="0" applyFont="1" applyFill="1" applyBorder="1" applyAlignment="1">
      <alignment horizontal="center" vertical="top" wrapText="1"/>
    </xf>
    <xf numFmtId="0" fontId="17" fillId="6" borderId="3" xfId="1" applyFont="1" applyFill="1" applyBorder="1" applyAlignment="1">
      <alignment horizontal="center" vertical="top" wrapText="1"/>
    </xf>
    <xf numFmtId="0" fontId="19" fillId="6" borderId="3" xfId="0" applyFont="1" applyFill="1" applyBorder="1" applyAlignment="1">
      <alignment horizontal="center" vertical="top" wrapText="1"/>
    </xf>
    <xf numFmtId="0" fontId="19" fillId="6" borderId="3" xfId="0" applyFont="1" applyFill="1" applyBorder="1" applyAlignment="1">
      <alignment horizontal="center" vertical="center" wrapText="1"/>
    </xf>
    <xf numFmtId="0" fontId="67" fillId="6" borderId="3" xfId="0" applyFont="1" applyFill="1" applyBorder="1" applyAlignment="1">
      <alignment horizontal="justify" vertical="center"/>
    </xf>
    <xf numFmtId="0" fontId="17" fillId="6" borderId="3" xfId="0" applyFont="1" applyFill="1" applyBorder="1" applyAlignment="1">
      <alignment horizontal="justify" vertical="center"/>
    </xf>
    <xf numFmtId="0" fontId="1" fillId="0" borderId="0" xfId="0" applyFont="1"/>
    <xf numFmtId="14" fontId="68" fillId="6" borderId="3" xfId="0" applyNumberFormat="1" applyFont="1" applyFill="1" applyBorder="1" applyAlignment="1">
      <alignment horizontal="center" wrapText="1"/>
    </xf>
    <xf numFmtId="1" fontId="17" fillId="6" borderId="3" xfId="0" applyNumberFormat="1" applyFont="1" applyFill="1" applyBorder="1" applyAlignment="1">
      <alignment horizontal="center"/>
    </xf>
    <xf numFmtId="0" fontId="18" fillId="0" borderId="5" xfId="0" applyFont="1" applyFill="1" applyBorder="1" applyAlignment="1">
      <alignment horizontal="center" vertical="center"/>
    </xf>
    <xf numFmtId="0" fontId="18" fillId="0" borderId="8" xfId="0" applyFont="1" applyFill="1" applyBorder="1" applyAlignment="1">
      <alignment horizontal="center" vertical="center"/>
    </xf>
    <xf numFmtId="0" fontId="31" fillId="6" borderId="3" xfId="0" applyFont="1" applyFill="1" applyBorder="1" applyAlignment="1">
      <alignment horizontal="justify" vertical="top" wrapText="1"/>
    </xf>
    <xf numFmtId="0" fontId="31" fillId="6" borderId="3" xfId="0" applyFont="1" applyFill="1" applyBorder="1" applyAlignment="1">
      <alignment vertical="top" wrapText="1"/>
    </xf>
    <xf numFmtId="0" fontId="32" fillId="0" borderId="3" xfId="0" applyFont="1" applyBorder="1" applyAlignment="1">
      <alignment horizontal="center" vertical="center"/>
    </xf>
    <xf numFmtId="0" fontId="32" fillId="0" borderId="3" xfId="0" applyFont="1" applyFill="1" applyBorder="1" applyAlignment="1">
      <alignment vertical="center"/>
    </xf>
    <xf numFmtId="1" fontId="32" fillId="0" borderId="3" xfId="0" applyNumberFormat="1" applyFont="1" applyFill="1" applyBorder="1" applyAlignment="1">
      <alignment horizontal="center" vertical="center"/>
    </xf>
    <xf numFmtId="0" fontId="39" fillId="0" borderId="3" xfId="0" applyFont="1" applyFill="1" applyBorder="1" applyAlignment="1">
      <alignment horizontal="center" vertical="center"/>
    </xf>
    <xf numFmtId="3" fontId="32" fillId="0" borderId="3" xfId="0" applyNumberFormat="1" applyFont="1" applyFill="1" applyBorder="1" applyAlignment="1">
      <alignment horizontal="right" vertical="center"/>
    </xf>
    <xf numFmtId="0" fontId="17" fillId="6" borderId="54" xfId="0" applyFont="1" applyFill="1" applyBorder="1" applyAlignment="1">
      <alignment horizontal="center" vertical="center" wrapText="1"/>
    </xf>
    <xf numFmtId="0" fontId="31" fillId="6" borderId="33" xfId="0" applyFont="1" applyFill="1" applyBorder="1" applyAlignment="1">
      <alignment wrapText="1"/>
    </xf>
    <xf numFmtId="0" fontId="17" fillId="6" borderId="33" xfId="0" applyFont="1" applyFill="1" applyBorder="1" applyAlignment="1">
      <alignment horizontal="center"/>
    </xf>
    <xf numFmtId="0" fontId="17" fillId="6" borderId="33" xfId="0" applyFont="1" applyFill="1" applyBorder="1" applyAlignment="1">
      <alignment wrapText="1"/>
    </xf>
    <xf numFmtId="14" fontId="17" fillId="6" borderId="33" xfId="0" applyNumberFormat="1" applyFont="1" applyFill="1" applyBorder="1" applyAlignment="1"/>
    <xf numFmtId="0" fontId="20" fillId="2" borderId="3" xfId="0" applyFont="1" applyFill="1" applyBorder="1" applyAlignment="1">
      <alignment horizontal="justify" vertical="center" wrapText="1"/>
    </xf>
    <xf numFmtId="0" fontId="20" fillId="2" borderId="3" xfId="0" applyFont="1" applyFill="1" applyBorder="1" applyAlignment="1">
      <alignment horizontal="center" vertical="center" wrapText="1"/>
    </xf>
    <xf numFmtId="0" fontId="70" fillId="0" borderId="0" xfId="0" applyFont="1" applyAlignment="1">
      <alignment horizontal="center"/>
    </xf>
    <xf numFmtId="173" fontId="22" fillId="0" borderId="52" xfId="0" applyNumberFormat="1" applyFont="1" applyFill="1" applyBorder="1" applyAlignment="1">
      <alignment vertical="center"/>
    </xf>
    <xf numFmtId="1" fontId="22" fillId="0" borderId="52" xfId="0" applyNumberFormat="1" applyFont="1" applyFill="1" applyBorder="1" applyAlignment="1">
      <alignment vertical="center"/>
    </xf>
    <xf numFmtId="3" fontId="32" fillId="0" borderId="3" xfId="0" applyNumberFormat="1" applyFont="1" applyFill="1" applyBorder="1" applyAlignment="1">
      <alignment horizontal="right" vertical="center" wrapText="1"/>
    </xf>
    <xf numFmtId="0" fontId="61" fillId="2" borderId="3" xfId="0" applyFont="1" applyFill="1" applyBorder="1" applyAlignment="1">
      <alignment horizontal="justify" vertical="center" wrapText="1"/>
    </xf>
    <xf numFmtId="1" fontId="20" fillId="2" borderId="3" xfId="0" applyNumberFormat="1" applyFont="1" applyFill="1" applyBorder="1" applyAlignment="1">
      <alignment horizontal="center" vertical="center" wrapText="1"/>
    </xf>
    <xf numFmtId="0" fontId="61" fillId="2" borderId="5" xfId="0" applyFont="1" applyFill="1" applyBorder="1" applyAlignment="1">
      <alignment vertical="center" wrapText="1"/>
    </xf>
    <xf numFmtId="3" fontId="32" fillId="0" borderId="0" xfId="0" applyNumberFormat="1" applyFont="1" applyFill="1" applyBorder="1" applyAlignment="1">
      <alignment horizontal="right" vertical="center" wrapText="1"/>
    </xf>
    <xf numFmtId="0" fontId="32" fillId="0" borderId="3" xfId="0" applyFont="1" applyBorder="1" applyAlignment="1">
      <alignment horizontal="center" vertical="center"/>
    </xf>
    <xf numFmtId="0" fontId="32" fillId="0" borderId="3" xfId="0" applyFont="1" applyFill="1" applyBorder="1" applyAlignment="1">
      <alignment horizontal="center" vertical="center"/>
    </xf>
    <xf numFmtId="0" fontId="37" fillId="0" borderId="0" xfId="0" applyFont="1" applyFill="1" applyBorder="1" applyAlignment="1">
      <alignment vertical="center"/>
    </xf>
    <xf numFmtId="0" fontId="32" fillId="0" borderId="4" xfId="0" applyFont="1" applyFill="1" applyBorder="1" applyAlignment="1">
      <alignment horizontal="center" vertical="center"/>
    </xf>
    <xf numFmtId="0" fontId="22" fillId="0" borderId="51" xfId="0" applyFont="1" applyFill="1" applyBorder="1" applyAlignment="1">
      <alignment horizontal="center" vertical="center"/>
    </xf>
    <xf numFmtId="0" fontId="22"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6" fillId="0" borderId="0" xfId="0" applyFont="1" applyFill="1" applyAlignment="1">
      <alignment vertical="center"/>
    </xf>
    <xf numFmtId="0" fontId="33" fillId="0" borderId="52" xfId="0" applyFont="1" applyFill="1" applyBorder="1" applyAlignment="1">
      <alignment horizontal="center" vertical="center"/>
    </xf>
    <xf numFmtId="0" fontId="40" fillId="0" borderId="0" xfId="0" applyFont="1" applyFill="1" applyBorder="1" applyAlignment="1">
      <alignment horizontal="center" vertical="center"/>
    </xf>
    <xf numFmtId="0" fontId="22" fillId="0" borderId="49" xfId="0" applyFont="1" applyFill="1" applyBorder="1" applyAlignment="1">
      <alignment horizontal="center" vertical="center"/>
    </xf>
    <xf numFmtId="0" fontId="20" fillId="2" borderId="3" xfId="0" applyFont="1" applyFill="1" applyBorder="1" applyAlignment="1">
      <alignment horizontal="center"/>
    </xf>
    <xf numFmtId="0" fontId="32" fillId="0" borderId="3" xfId="0" applyFont="1" applyFill="1" applyBorder="1" applyAlignment="1">
      <alignment horizontal="right" vertical="center"/>
    </xf>
    <xf numFmtId="1" fontId="20" fillId="0" borderId="54" xfId="0" applyNumberFormat="1" applyFont="1" applyFill="1" applyBorder="1" applyAlignment="1">
      <alignment vertical="center"/>
    </xf>
    <xf numFmtId="1" fontId="20" fillId="0" borderId="33" xfId="0" applyNumberFormat="1" applyFont="1" applyFill="1" applyBorder="1" applyAlignment="1">
      <alignment vertical="center"/>
    </xf>
    <xf numFmtId="0" fontId="20" fillId="2" borderId="5" xfId="0" applyFont="1" applyFill="1" applyBorder="1" applyAlignment="1">
      <alignment horizontal="center"/>
    </xf>
    <xf numFmtId="166" fontId="20" fillId="2" borderId="51" xfId="0" applyNumberFormat="1" applyFont="1" applyFill="1" applyBorder="1" applyAlignment="1">
      <alignment horizontal="center" vertical="center"/>
    </xf>
    <xf numFmtId="1" fontId="20" fillId="2" borderId="56" xfId="0" applyNumberFormat="1" applyFont="1" applyFill="1" applyBorder="1" applyAlignment="1">
      <alignment horizontal="center" vertical="center"/>
    </xf>
    <xf numFmtId="166" fontId="20" fillId="2" borderId="56" xfId="0" applyNumberFormat="1" applyFont="1" applyFill="1" applyBorder="1" applyAlignment="1">
      <alignment horizontal="center" vertical="center"/>
    </xf>
    <xf numFmtId="166" fontId="20" fillId="2" borderId="3" xfId="0" applyNumberFormat="1" applyFont="1" applyFill="1" applyBorder="1" applyAlignment="1">
      <alignment horizontal="center" vertical="center"/>
    </xf>
    <xf numFmtId="0" fontId="20" fillId="2" borderId="8" xfId="0" applyFont="1" applyFill="1" applyBorder="1"/>
    <xf numFmtId="0" fontId="22" fillId="0" borderId="50" xfId="0" applyFont="1" applyFill="1" applyBorder="1" applyAlignment="1">
      <alignment vertical="center"/>
    </xf>
    <xf numFmtId="0" fontId="61" fillId="2" borderId="8" xfId="0" applyFont="1" applyFill="1" applyBorder="1" applyAlignment="1">
      <alignment horizontal="justify" vertical="center" wrapText="1"/>
    </xf>
    <xf numFmtId="0" fontId="62" fillId="2" borderId="56" xfId="0" applyFont="1" applyFill="1" applyBorder="1" applyAlignment="1">
      <alignment horizontal="center" wrapText="1"/>
    </xf>
    <xf numFmtId="1" fontId="20" fillId="2" borderId="56" xfId="0" applyNumberFormat="1" applyFont="1" applyFill="1" applyBorder="1" applyAlignment="1">
      <alignment horizontal="center" vertical="center" wrapText="1"/>
    </xf>
    <xf numFmtId="0" fontId="71" fillId="0" borderId="0" xfId="0" applyFont="1"/>
    <xf numFmtId="0" fontId="24" fillId="0" borderId="0" xfId="0" applyFont="1"/>
    <xf numFmtId="0" fontId="73" fillId="0" borderId="0" xfId="0" applyFont="1"/>
    <xf numFmtId="0" fontId="72" fillId="0" borderId="0" xfId="0" applyFont="1"/>
    <xf numFmtId="0" fontId="74" fillId="0" borderId="0" xfId="0" applyFont="1"/>
    <xf numFmtId="0" fontId="61" fillId="2" borderId="8" xfId="0" applyFont="1" applyFill="1" applyBorder="1" applyAlignment="1">
      <alignment horizontal="center" vertical="center" wrapText="1"/>
    </xf>
    <xf numFmtId="0" fontId="62" fillId="2" borderId="56" xfId="0" applyFont="1" applyFill="1" applyBorder="1" applyAlignment="1">
      <alignment horizontal="justify" vertical="center" wrapText="1"/>
    </xf>
    <xf numFmtId="0" fontId="22" fillId="2" borderId="0" xfId="0" applyFont="1" applyFill="1"/>
    <xf numFmtId="1" fontId="22" fillId="0" borderId="0" xfId="0" applyNumberFormat="1" applyFont="1"/>
    <xf numFmtId="0" fontId="22" fillId="0" borderId="0" xfId="0" applyFont="1" applyAlignment="1">
      <alignment horizontal="center" wrapText="1"/>
    </xf>
    <xf numFmtId="1" fontId="20" fillId="2" borderId="8" xfId="0" applyNumberFormat="1" applyFont="1" applyFill="1" applyBorder="1" applyAlignment="1">
      <alignment horizontal="center"/>
    </xf>
    <xf numFmtId="1" fontId="20" fillId="2" borderId="56" xfId="0" applyNumberFormat="1" applyFont="1" applyFill="1" applyBorder="1" applyAlignment="1">
      <alignment horizontal="center"/>
    </xf>
    <xf numFmtId="1" fontId="20" fillId="2" borderId="5" xfId="0" applyNumberFormat="1" applyFont="1" applyFill="1" applyBorder="1" applyAlignment="1">
      <alignment horizontal="center"/>
    </xf>
    <xf numFmtId="166" fontId="20" fillId="2" borderId="48" xfId="0" applyNumberFormat="1" applyFont="1" applyFill="1" applyBorder="1" applyAlignment="1">
      <alignment horizontal="center"/>
    </xf>
    <xf numFmtId="1" fontId="20" fillId="2" borderId="51" xfId="0" applyNumberFormat="1" applyFont="1" applyFill="1" applyBorder="1" applyAlignment="1">
      <alignment horizontal="justify" wrapText="1"/>
    </xf>
    <xf numFmtId="1" fontId="20" fillId="2" borderId="8" xfId="0" applyNumberFormat="1" applyFont="1" applyFill="1" applyBorder="1" applyAlignment="1">
      <alignment horizontal="justify" wrapText="1"/>
    </xf>
    <xf numFmtId="14" fontId="20" fillId="2" borderId="8" xfId="0" applyNumberFormat="1" applyFont="1" applyFill="1" applyBorder="1" applyAlignment="1">
      <alignment wrapText="1"/>
    </xf>
    <xf numFmtId="166" fontId="20" fillId="2" borderId="54" xfId="0" applyNumberFormat="1" applyFont="1" applyFill="1" applyBorder="1" applyAlignment="1">
      <alignment horizontal="center"/>
    </xf>
    <xf numFmtId="1" fontId="20" fillId="2" borderId="5" xfId="0" applyNumberFormat="1" applyFont="1" applyFill="1" applyBorder="1" applyAlignment="1">
      <alignment horizontal="justify" wrapText="1"/>
    </xf>
    <xf numFmtId="0" fontId="20" fillId="2" borderId="8" xfId="0" applyFont="1" applyFill="1" applyBorder="1" applyAlignment="1">
      <alignment wrapText="1"/>
    </xf>
    <xf numFmtId="0" fontId="61" fillId="2" borderId="56" xfId="0" applyFont="1" applyFill="1" applyBorder="1" applyAlignment="1">
      <alignment horizontal="center" vertical="center" wrapText="1"/>
    </xf>
    <xf numFmtId="1" fontId="20" fillId="2" borderId="51" xfId="0" applyNumberFormat="1" applyFont="1" applyFill="1" applyBorder="1" applyAlignment="1">
      <alignment horizontal="center" wrapText="1"/>
    </xf>
    <xf numFmtId="1" fontId="20" fillId="2" borderId="54" xfId="0" applyNumberFormat="1" applyFont="1" applyFill="1" applyBorder="1" applyAlignment="1">
      <alignment horizontal="center" wrapText="1"/>
    </xf>
    <xf numFmtId="0" fontId="20" fillId="2" borderId="5" xfId="0" applyFont="1" applyFill="1" applyBorder="1" applyAlignment="1">
      <alignment horizontal="center" vertical="center"/>
    </xf>
    <xf numFmtId="0" fontId="62" fillId="2" borderId="5" xfId="0" applyFont="1" applyFill="1" applyBorder="1" applyAlignment="1">
      <alignment horizontal="justify" vertical="center" wrapText="1"/>
    </xf>
    <xf numFmtId="166" fontId="20" fillId="2" borderId="8" xfId="0" applyNumberFormat="1" applyFont="1" applyFill="1" applyBorder="1" applyAlignment="1">
      <alignment horizontal="center"/>
    </xf>
    <xf numFmtId="14" fontId="20" fillId="2" borderId="5" xfId="0" applyNumberFormat="1" applyFont="1" applyFill="1" applyBorder="1" applyAlignment="1">
      <alignment horizontal="center" wrapText="1"/>
    </xf>
    <xf numFmtId="14" fontId="20" fillId="2" borderId="8" xfId="0" applyNumberFormat="1" applyFont="1" applyFill="1" applyBorder="1" applyAlignment="1">
      <alignment horizontal="center" wrapText="1"/>
    </xf>
    <xf numFmtId="166" fontId="20" fillId="2" borderId="8" xfId="0" applyNumberFormat="1" applyFont="1" applyFill="1" applyBorder="1" applyAlignment="1">
      <alignment horizontal="center"/>
    </xf>
    <xf numFmtId="166" fontId="20" fillId="2" borderId="51" xfId="0" applyNumberFormat="1" applyFont="1" applyFill="1" applyBorder="1" applyAlignment="1">
      <alignment horizontal="center"/>
    </xf>
    <xf numFmtId="1" fontId="20" fillId="2" borderId="52" xfId="0" applyNumberFormat="1" applyFont="1" applyFill="1" applyBorder="1" applyAlignment="1">
      <alignment horizontal="center"/>
    </xf>
    <xf numFmtId="1" fontId="20" fillId="2" borderId="3" xfId="0" applyNumberFormat="1" applyFont="1" applyFill="1" applyBorder="1" applyAlignment="1">
      <alignment horizontal="center" vertical="center"/>
    </xf>
    <xf numFmtId="1" fontId="20" fillId="2" borderId="55" xfId="0" applyNumberFormat="1" applyFont="1" applyFill="1" applyBorder="1" applyAlignment="1">
      <alignment horizontal="center"/>
    </xf>
    <xf numFmtId="0" fontId="12" fillId="2" borderId="3" xfId="0" applyFont="1" applyFill="1" applyBorder="1"/>
    <xf numFmtId="0" fontId="12" fillId="2" borderId="16" xfId="0" applyFont="1" applyFill="1" applyBorder="1"/>
    <xf numFmtId="14" fontId="20" fillId="2" borderId="56" xfId="0" applyNumberFormat="1" applyFont="1" applyFill="1" applyBorder="1" applyAlignment="1">
      <alignment horizontal="center" wrapText="1"/>
    </xf>
    <xf numFmtId="1" fontId="20" fillId="2" borderId="48" xfId="0" applyNumberFormat="1" applyFont="1" applyFill="1" applyBorder="1" applyAlignment="1">
      <alignment horizontal="center" wrapText="1"/>
    </xf>
    <xf numFmtId="1" fontId="20" fillId="2" borderId="50" xfId="0" applyNumberFormat="1" applyFont="1" applyFill="1" applyBorder="1" applyAlignment="1">
      <alignment horizontal="center"/>
    </xf>
    <xf numFmtId="0" fontId="62" fillId="0" borderId="8" xfId="0" applyFont="1" applyBorder="1" applyAlignment="1">
      <alignment horizontal="justify" vertical="center" wrapText="1"/>
    </xf>
    <xf numFmtId="0" fontId="22" fillId="2" borderId="0" xfId="0" applyFont="1" applyFill="1" applyAlignment="1"/>
    <xf numFmtId="1" fontId="20" fillId="2" borderId="8" xfId="0" applyNumberFormat="1" applyFont="1" applyFill="1" applyBorder="1" applyAlignment="1">
      <alignment horizontal="center" vertical="center"/>
    </xf>
    <xf numFmtId="1" fontId="61" fillId="2" borderId="56" xfId="0" applyNumberFormat="1" applyFont="1" applyFill="1" applyBorder="1" applyAlignment="1">
      <alignment horizontal="justify" vertical="top" wrapText="1"/>
    </xf>
    <xf numFmtId="0" fontId="20" fillId="2" borderId="5" xfId="0" applyFont="1" applyFill="1" applyBorder="1" applyAlignment="1">
      <alignment horizontal="center" vertical="center"/>
    </xf>
    <xf numFmtId="0" fontId="62" fillId="2" borderId="5" xfId="0" applyFont="1" applyFill="1" applyBorder="1" applyAlignment="1">
      <alignment horizontal="justify" vertical="center" wrapText="1"/>
    </xf>
    <xf numFmtId="166" fontId="20" fillId="2" borderId="56" xfId="0" applyNumberFormat="1" applyFont="1" applyFill="1" applyBorder="1" applyAlignment="1">
      <alignment horizontal="center" vertical="center"/>
    </xf>
    <xf numFmtId="0" fontId="62" fillId="0" borderId="0" xfId="0" applyFont="1" applyBorder="1" applyAlignment="1">
      <alignment horizontal="justify" vertical="center" wrapText="1"/>
    </xf>
    <xf numFmtId="0" fontId="20" fillId="2" borderId="56" xfId="0" applyFont="1" applyFill="1" applyBorder="1" applyAlignment="1">
      <alignment horizontal="justify" vertical="center" wrapText="1"/>
    </xf>
    <xf numFmtId="14" fontId="20" fillId="2" borderId="56" xfId="0" applyNumberFormat="1" applyFont="1" applyFill="1" applyBorder="1" applyAlignment="1">
      <alignment vertical="center" wrapText="1"/>
    </xf>
    <xf numFmtId="0" fontId="20" fillId="2" borderId="56" xfId="0" applyFont="1" applyFill="1" applyBorder="1" applyAlignment="1">
      <alignment horizontal="center" vertical="center" wrapText="1"/>
    </xf>
    <xf numFmtId="0" fontId="62" fillId="0" borderId="0" xfId="0" applyFont="1" applyAlignment="1">
      <alignment wrapText="1"/>
    </xf>
    <xf numFmtId="0" fontId="62" fillId="0" borderId="3" xfId="0" applyFont="1" applyBorder="1" applyAlignment="1">
      <alignment wrapText="1"/>
    </xf>
    <xf numFmtId="0" fontId="62" fillId="2" borderId="5" xfId="0" applyFont="1" applyFill="1" applyBorder="1" applyAlignment="1">
      <alignment vertical="center" wrapText="1"/>
    </xf>
    <xf numFmtId="166" fontId="20" fillId="2" borderId="5" xfId="0" applyNumberFormat="1" applyFont="1" applyFill="1" applyBorder="1" applyAlignment="1">
      <alignment horizontal="center" vertical="center"/>
    </xf>
    <xf numFmtId="166" fontId="20" fillId="2" borderId="48" xfId="0" applyNumberFormat="1" applyFont="1" applyFill="1" applyBorder="1" applyAlignment="1">
      <alignment horizontal="center" vertical="center"/>
    </xf>
    <xf numFmtId="0" fontId="62" fillId="2" borderId="0" xfId="0" applyFont="1" applyFill="1" applyBorder="1" applyAlignment="1">
      <alignment vertical="center" wrapText="1"/>
    </xf>
    <xf numFmtId="166" fontId="20" fillId="2" borderId="0" xfId="0" applyNumberFormat="1" applyFont="1" applyFill="1" applyBorder="1" applyAlignment="1">
      <alignment horizontal="center" vertical="center"/>
    </xf>
    <xf numFmtId="0" fontId="62" fillId="2" borderId="49" xfId="0" applyFont="1" applyFill="1" applyBorder="1" applyAlignment="1">
      <alignment vertical="center" wrapText="1"/>
    </xf>
    <xf numFmtId="166" fontId="20" fillId="2" borderId="49" xfId="0" applyNumberFormat="1" applyFont="1" applyFill="1" applyBorder="1" applyAlignment="1">
      <alignment horizontal="center" vertical="center"/>
    </xf>
    <xf numFmtId="0" fontId="20" fillId="2" borderId="0" xfId="0" applyFont="1" applyFill="1" applyBorder="1" applyAlignment="1">
      <alignment horizontal="justify" vertical="center" wrapText="1"/>
    </xf>
    <xf numFmtId="0" fontId="20" fillId="2" borderId="56" xfId="0" applyFont="1" applyFill="1" applyBorder="1" applyAlignment="1">
      <alignment horizontal="center"/>
    </xf>
    <xf numFmtId="0" fontId="20" fillId="2" borderId="8" xfId="0" applyFont="1" applyFill="1" applyBorder="1" applyAlignment="1">
      <alignment horizontal="center"/>
    </xf>
    <xf numFmtId="0" fontId="20" fillId="2" borderId="7" xfId="0" applyFont="1" applyFill="1" applyBorder="1" applyAlignment="1">
      <alignment horizontal="center"/>
    </xf>
    <xf numFmtId="0" fontId="66" fillId="0" borderId="3" xfId="0" applyFont="1" applyBorder="1" applyAlignment="1">
      <alignment horizontal="justify" vertical="center" wrapText="1"/>
    </xf>
    <xf numFmtId="14" fontId="20" fillId="2" borderId="3" xfId="0" applyNumberFormat="1" applyFont="1" applyFill="1" applyBorder="1" applyAlignment="1">
      <alignment wrapText="1"/>
    </xf>
    <xf numFmtId="0" fontId="20" fillId="2" borderId="3" xfId="0" applyFont="1" applyFill="1" applyBorder="1" applyAlignment="1">
      <alignment horizontal="center" wrapText="1"/>
    </xf>
    <xf numFmtId="0" fontId="75" fillId="2" borderId="3" xfId="0" applyFont="1" applyFill="1" applyBorder="1" applyAlignment="1">
      <alignment horizontal="justify" vertical="center" wrapText="1"/>
    </xf>
    <xf numFmtId="0" fontId="75" fillId="2" borderId="56" xfId="0" applyFont="1" applyFill="1" applyBorder="1" applyAlignment="1">
      <alignment horizontal="justify" wrapText="1"/>
    </xf>
    <xf numFmtId="14" fontId="75" fillId="2" borderId="56" xfId="0" applyNumberFormat="1" applyFont="1" applyFill="1" applyBorder="1" applyAlignment="1">
      <alignment horizontal="center" wrapText="1"/>
    </xf>
    <xf numFmtId="0" fontId="75" fillId="2" borderId="5" xfId="0" applyFont="1" applyFill="1" applyBorder="1" applyAlignment="1">
      <alignment horizontal="center" wrapText="1"/>
    </xf>
    <xf numFmtId="0" fontId="75" fillId="2" borderId="5" xfId="0" applyFont="1" applyFill="1" applyBorder="1" applyAlignment="1">
      <alignment horizontal="justify" vertical="center" wrapText="1"/>
    </xf>
    <xf numFmtId="0" fontId="75" fillId="2" borderId="49" xfId="0" applyFont="1" applyFill="1" applyBorder="1" applyAlignment="1">
      <alignment horizontal="justify" vertical="center" wrapText="1"/>
    </xf>
    <xf numFmtId="0" fontId="75" fillId="2" borderId="56" xfId="0" applyFont="1" applyFill="1" applyBorder="1" applyAlignment="1">
      <alignment horizontal="center" vertical="center" wrapText="1"/>
    </xf>
    <xf numFmtId="14" fontId="75" fillId="2" borderId="56" xfId="0" applyNumberFormat="1" applyFont="1" applyFill="1" applyBorder="1" applyAlignment="1">
      <alignment horizontal="center" vertical="center" wrapText="1"/>
    </xf>
    <xf numFmtId="0" fontId="62" fillId="2" borderId="0" xfId="0" applyFont="1" applyFill="1" applyBorder="1" applyAlignment="1">
      <alignment horizontal="center" vertical="center" wrapText="1"/>
    </xf>
    <xf numFmtId="0" fontId="62" fillId="2" borderId="5" xfId="0" applyFont="1" applyFill="1" applyBorder="1" applyAlignment="1">
      <alignment horizontal="justify" vertical="center" wrapText="1"/>
    </xf>
    <xf numFmtId="0" fontId="62" fillId="2" borderId="8" xfId="0" applyFont="1" applyFill="1" applyBorder="1" applyAlignment="1">
      <alignment horizontal="justify" vertical="center" wrapText="1"/>
    </xf>
    <xf numFmtId="166" fontId="20" fillId="2" borderId="5" xfId="0" applyNumberFormat="1" applyFont="1" applyFill="1" applyBorder="1" applyAlignment="1">
      <alignment horizontal="center"/>
    </xf>
    <xf numFmtId="166" fontId="20" fillId="2" borderId="8" xfId="0" applyNumberFormat="1" applyFont="1" applyFill="1" applyBorder="1" applyAlignment="1">
      <alignment horizontal="center"/>
    </xf>
    <xf numFmtId="1" fontId="20" fillId="2" borderId="8" xfId="0" applyNumberFormat="1" applyFont="1" applyFill="1" applyBorder="1" applyAlignment="1">
      <alignment horizontal="center" wrapText="1"/>
    </xf>
    <xf numFmtId="1" fontId="20" fillId="2" borderId="5" xfId="0" applyNumberFormat="1" applyFont="1" applyFill="1" applyBorder="1" applyAlignment="1">
      <alignment horizontal="center" wrapText="1"/>
    </xf>
    <xf numFmtId="0" fontId="20" fillId="2" borderId="5" xfId="0" applyFont="1" applyFill="1" applyBorder="1" applyAlignment="1">
      <alignment horizontal="center" wrapText="1"/>
    </xf>
    <xf numFmtId="0" fontId="20" fillId="2" borderId="8" xfId="0" applyFont="1" applyFill="1" applyBorder="1" applyAlignment="1">
      <alignment horizontal="center" wrapText="1"/>
    </xf>
    <xf numFmtId="14" fontId="20" fillId="2" borderId="5" xfId="0" applyNumberFormat="1" applyFont="1" applyFill="1" applyBorder="1" applyAlignment="1">
      <alignment horizontal="center" wrapText="1"/>
    </xf>
    <xf numFmtId="0" fontId="20" fillId="2" borderId="5" xfId="0" applyFont="1" applyFill="1" applyBorder="1" applyAlignment="1">
      <alignment horizontal="center" vertical="center" wrapText="1"/>
    </xf>
    <xf numFmtId="0" fontId="20" fillId="2" borderId="8" xfId="0" applyFont="1" applyFill="1" applyBorder="1" applyAlignment="1">
      <alignment horizontal="center" vertical="center" wrapText="1"/>
    </xf>
    <xf numFmtId="166" fontId="20" fillId="2" borderId="56" xfId="0" applyNumberFormat="1" applyFont="1" applyFill="1" applyBorder="1" applyAlignment="1">
      <alignment horizontal="center" vertical="center"/>
    </xf>
    <xf numFmtId="166" fontId="20" fillId="2" borderId="8" xfId="0" applyNumberFormat="1" applyFont="1" applyFill="1" applyBorder="1" applyAlignment="1">
      <alignment horizontal="center" vertical="center"/>
    </xf>
    <xf numFmtId="166" fontId="20" fillId="2" borderId="56" xfId="0" applyNumberFormat="1" applyFont="1" applyFill="1" applyBorder="1" applyAlignment="1">
      <alignment horizontal="center" vertical="center"/>
    </xf>
    <xf numFmtId="166" fontId="20" fillId="2" borderId="8" xfId="0" applyNumberFormat="1" applyFont="1" applyFill="1" applyBorder="1" applyAlignment="1">
      <alignment horizontal="center" vertical="center"/>
    </xf>
    <xf numFmtId="0" fontId="20" fillId="2" borderId="5"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5" xfId="0" applyFont="1" applyFill="1" applyBorder="1" applyAlignment="1">
      <alignment horizontal="center" vertical="center" wrapText="1"/>
    </xf>
    <xf numFmtId="0" fontId="20" fillId="2" borderId="8" xfId="0" applyFont="1" applyFill="1" applyBorder="1" applyAlignment="1">
      <alignment horizontal="center" vertical="center" wrapText="1"/>
    </xf>
    <xf numFmtId="14" fontId="20" fillId="2" borderId="8" xfId="0" applyNumberFormat="1" applyFont="1" applyFill="1" applyBorder="1" applyAlignment="1">
      <alignment horizontal="center" vertical="center" wrapText="1"/>
    </xf>
    <xf numFmtId="14" fontId="20" fillId="2" borderId="8" xfId="0" applyNumberFormat="1" applyFont="1" applyFill="1" applyBorder="1" applyAlignment="1">
      <alignment horizontal="center" wrapText="1"/>
    </xf>
    <xf numFmtId="0" fontId="20" fillId="2" borderId="5" xfId="0" applyFont="1" applyFill="1" applyBorder="1" applyAlignment="1">
      <alignment horizontal="justify" vertical="center" wrapText="1"/>
    </xf>
    <xf numFmtId="14" fontId="20" fillId="2" borderId="5" xfId="0" applyNumberFormat="1" applyFont="1" applyFill="1" applyBorder="1" applyAlignment="1">
      <alignment horizontal="center" vertical="center" wrapText="1"/>
    </xf>
    <xf numFmtId="1" fontId="20" fillId="2" borderId="5" xfId="0" applyNumberFormat="1" applyFont="1" applyFill="1" applyBorder="1" applyAlignment="1">
      <alignment horizontal="center" vertical="center" wrapText="1"/>
    </xf>
    <xf numFmtId="14" fontId="20" fillId="2" borderId="5" xfId="0" applyNumberFormat="1" applyFont="1" applyFill="1" applyBorder="1" applyAlignment="1">
      <alignment horizontal="center" wrapText="1"/>
    </xf>
    <xf numFmtId="0" fontId="20" fillId="2" borderId="56" xfId="0" applyFont="1" applyFill="1" applyBorder="1" applyAlignment="1">
      <alignment horizontal="center" vertical="center"/>
    </xf>
    <xf numFmtId="0" fontId="61" fillId="2" borderId="56" xfId="0" applyFont="1" applyFill="1" applyBorder="1" applyAlignment="1">
      <alignment horizontal="center" vertical="center" wrapText="1"/>
    </xf>
    <xf numFmtId="0" fontId="61" fillId="2" borderId="8" xfId="0" applyFont="1" applyFill="1" applyBorder="1" applyAlignment="1">
      <alignment horizontal="center" vertical="center" wrapText="1"/>
    </xf>
    <xf numFmtId="0" fontId="20" fillId="2" borderId="51" xfId="0" applyFont="1" applyFill="1" applyBorder="1" applyAlignment="1">
      <alignment horizontal="center" vertical="center"/>
    </xf>
    <xf numFmtId="166" fontId="75" fillId="2" borderId="8" xfId="0" applyNumberFormat="1" applyFont="1" applyFill="1" applyBorder="1" applyAlignment="1">
      <alignment horizontal="center"/>
    </xf>
    <xf numFmtId="166" fontId="75" fillId="2" borderId="54" xfId="0" applyNumberFormat="1" applyFont="1" applyFill="1" applyBorder="1" applyAlignment="1">
      <alignment horizontal="center"/>
    </xf>
    <xf numFmtId="0" fontId="20" fillId="2" borderId="3" xfId="0" applyFont="1" applyFill="1" applyBorder="1" applyAlignment="1"/>
    <xf numFmtId="0" fontId="62" fillId="2" borderId="52" xfId="0" applyFont="1" applyFill="1" applyBorder="1" applyAlignment="1">
      <alignment horizontal="justify" vertical="center" wrapText="1"/>
    </xf>
    <xf numFmtId="0" fontId="62" fillId="2" borderId="52" xfId="0" applyFont="1" applyFill="1" applyBorder="1" applyAlignment="1">
      <alignment horizontal="center" wrapText="1"/>
    </xf>
    <xf numFmtId="0" fontId="20" fillId="2" borderId="33" xfId="0" applyFont="1" applyFill="1" applyBorder="1" applyAlignment="1">
      <alignment horizontal="justify" vertical="center" wrapText="1"/>
    </xf>
    <xf numFmtId="0" fontId="62" fillId="2" borderId="33" xfId="0" applyFont="1" applyFill="1" applyBorder="1" applyAlignment="1">
      <alignment vertical="center" wrapText="1"/>
    </xf>
    <xf numFmtId="166" fontId="20" fillId="2" borderId="33" xfId="0" applyNumberFormat="1" applyFont="1" applyFill="1" applyBorder="1" applyAlignment="1">
      <alignment horizontal="center" vertical="center"/>
    </xf>
    <xf numFmtId="166" fontId="20" fillId="2" borderId="5" xfId="0" applyNumberFormat="1" applyFont="1" applyFill="1" applyBorder="1" applyAlignment="1">
      <alignment horizontal="center" vertical="center"/>
    </xf>
    <xf numFmtId="1" fontId="20" fillId="2" borderId="5" xfId="0" applyNumberFormat="1" applyFont="1" applyFill="1" applyBorder="1" applyAlignment="1">
      <alignment horizontal="center" vertical="center"/>
    </xf>
    <xf numFmtId="166" fontId="20" fillId="2" borderId="54" xfId="0" applyNumberFormat="1" applyFont="1" applyFill="1" applyBorder="1" applyAlignment="1">
      <alignment horizontal="center" vertical="center"/>
    </xf>
    <xf numFmtId="0" fontId="20" fillId="2" borderId="56" xfId="0" applyNumberFormat="1" applyFont="1" applyFill="1" applyBorder="1" applyAlignment="1">
      <alignment horizontal="center" vertical="center"/>
    </xf>
    <xf numFmtId="166" fontId="20" fillId="2" borderId="52" xfId="0" applyNumberFormat="1" applyFont="1" applyFill="1" applyBorder="1" applyAlignment="1">
      <alignment horizontal="center" vertical="center"/>
    </xf>
    <xf numFmtId="0" fontId="62" fillId="2" borderId="49" xfId="0" applyFont="1" applyFill="1" applyBorder="1" applyAlignment="1">
      <alignment horizontal="center" vertical="center" wrapText="1"/>
    </xf>
    <xf numFmtId="14" fontId="62" fillId="2" borderId="0" xfId="0" applyNumberFormat="1" applyFont="1" applyFill="1" applyBorder="1" applyAlignment="1">
      <alignment horizontal="center" vertical="center" wrapText="1"/>
    </xf>
    <xf numFmtId="14" fontId="62" fillId="2" borderId="33" xfId="0" applyNumberFormat="1" applyFont="1" applyFill="1" applyBorder="1" applyAlignment="1">
      <alignment horizontal="center" vertical="center" wrapText="1"/>
    </xf>
    <xf numFmtId="14" fontId="62" fillId="2" borderId="5" xfId="0" applyNumberFormat="1" applyFont="1" applyFill="1" applyBorder="1" applyAlignment="1">
      <alignment horizontal="center" vertical="center" wrapText="1"/>
    </xf>
    <xf numFmtId="14" fontId="62" fillId="2" borderId="8" xfId="0" applyNumberFormat="1" applyFont="1" applyFill="1" applyBorder="1" applyAlignment="1">
      <alignment horizontal="center" vertical="center" wrapText="1"/>
    </xf>
    <xf numFmtId="14" fontId="62" fillId="2" borderId="56" xfId="0" applyNumberFormat="1" applyFont="1" applyFill="1" applyBorder="1" applyAlignment="1">
      <alignment horizontal="center" vertical="center" wrapText="1"/>
    </xf>
    <xf numFmtId="0" fontId="62" fillId="2" borderId="5" xfId="0" applyFont="1" applyFill="1" applyBorder="1" applyAlignment="1">
      <alignment horizontal="center" vertical="center" wrapText="1"/>
    </xf>
    <xf numFmtId="0" fontId="62" fillId="2" borderId="56" xfId="0" applyFont="1" applyFill="1" applyBorder="1" applyAlignment="1">
      <alignment horizontal="center" vertical="center" wrapText="1"/>
    </xf>
    <xf numFmtId="0" fontId="62" fillId="2" borderId="8" xfId="0" applyFont="1" applyFill="1" applyBorder="1" applyAlignment="1">
      <alignment horizontal="center" vertical="center" wrapText="1"/>
    </xf>
    <xf numFmtId="0" fontId="13" fillId="2" borderId="8" xfId="0" applyFont="1" applyFill="1" applyBorder="1" applyAlignment="1">
      <alignment horizontal="center" vertical="center"/>
    </xf>
    <xf numFmtId="0" fontId="20" fillId="2" borderId="33" xfId="0" applyFont="1" applyFill="1" applyBorder="1" applyAlignment="1">
      <alignment horizontal="center" vertical="center" wrapText="1"/>
    </xf>
    <xf numFmtId="0" fontId="20" fillId="2" borderId="51" xfId="0" applyFont="1" applyFill="1" applyBorder="1" applyAlignment="1">
      <alignment horizontal="center" vertical="center" wrapText="1"/>
    </xf>
    <xf numFmtId="0" fontId="20" fillId="2" borderId="33" xfId="0" applyFont="1" applyFill="1" applyBorder="1" applyAlignment="1">
      <alignment horizontal="center" wrapText="1"/>
    </xf>
    <xf numFmtId="1" fontId="20" fillId="2" borderId="33" xfId="0" applyNumberFormat="1" applyFont="1" applyFill="1" applyBorder="1" applyAlignment="1">
      <alignment horizontal="center"/>
    </xf>
    <xf numFmtId="166" fontId="20" fillId="2" borderId="33" xfId="0" applyNumberFormat="1" applyFont="1" applyFill="1" applyBorder="1" applyAlignment="1">
      <alignment horizontal="center"/>
    </xf>
    <xf numFmtId="0" fontId="20" fillId="2" borderId="49" xfId="0" applyFont="1" applyFill="1" applyBorder="1" applyAlignment="1">
      <alignment horizontal="center" wrapText="1"/>
    </xf>
    <xf numFmtId="1" fontId="20" fillId="2" borderId="49" xfId="0" applyNumberFormat="1" applyFont="1" applyFill="1" applyBorder="1" applyAlignment="1">
      <alignment horizontal="center"/>
    </xf>
    <xf numFmtId="166" fontId="20" fillId="2" borderId="49" xfId="0" applyNumberFormat="1" applyFont="1" applyFill="1" applyBorder="1" applyAlignment="1">
      <alignment horizontal="center"/>
    </xf>
    <xf numFmtId="0" fontId="20" fillId="2" borderId="50" xfId="0" applyFont="1" applyFill="1" applyBorder="1" applyAlignment="1">
      <alignment horizontal="center" vertical="center" wrapText="1"/>
    </xf>
    <xf numFmtId="0" fontId="62" fillId="0" borderId="5" xfId="0" applyFont="1" applyBorder="1" applyAlignment="1">
      <alignment horizontal="justify" vertical="center" wrapText="1"/>
    </xf>
    <xf numFmtId="166" fontId="20" fillId="2" borderId="56" xfId="0" applyNumberFormat="1" applyFont="1" applyFill="1" applyBorder="1" applyAlignment="1">
      <alignment horizontal="center"/>
    </xf>
    <xf numFmtId="0" fontId="1" fillId="2" borderId="3" xfId="0" applyFont="1" applyFill="1" applyBorder="1"/>
    <xf numFmtId="0" fontId="1" fillId="2" borderId="33" xfId="0" applyFont="1" applyFill="1" applyBorder="1" applyAlignment="1">
      <alignment horizontal="center" vertical="center"/>
    </xf>
    <xf numFmtId="167" fontId="1" fillId="2" borderId="8" xfId="0" applyNumberFormat="1" applyFont="1" applyFill="1" applyBorder="1" applyAlignment="1">
      <alignment horizontal="center" vertical="center"/>
    </xf>
    <xf numFmtId="0" fontId="75" fillId="2" borderId="8" xfId="0" applyFont="1" applyFill="1" applyBorder="1" applyAlignment="1">
      <alignment horizontal="center" wrapText="1"/>
    </xf>
    <xf numFmtId="0" fontId="62" fillId="0" borderId="55" xfId="0" applyFont="1" applyBorder="1" applyAlignment="1">
      <alignment horizontal="justify" vertical="center" wrapText="1"/>
    </xf>
    <xf numFmtId="0" fontId="61" fillId="2" borderId="52" xfId="0" applyFont="1" applyFill="1" applyBorder="1" applyAlignment="1">
      <alignment horizontal="justify" vertical="center" wrapText="1"/>
    </xf>
    <xf numFmtId="167" fontId="20" fillId="2" borderId="5" xfId="0" applyNumberFormat="1" applyFont="1" applyFill="1" applyBorder="1" applyAlignment="1">
      <alignment horizontal="center" vertical="center"/>
    </xf>
    <xf numFmtId="0" fontId="4" fillId="0" borderId="0" xfId="0" applyFont="1" applyBorder="1" applyAlignment="1">
      <alignment vertical="center" wrapText="1"/>
    </xf>
    <xf numFmtId="0" fontId="0" fillId="0" borderId="0" xfId="0" applyBorder="1" applyAlignment="1">
      <alignment vertical="center" wrapText="1"/>
    </xf>
    <xf numFmtId="0" fontId="8" fillId="0" borderId="0" xfId="0" applyFont="1" applyBorder="1" applyAlignment="1">
      <alignment horizontal="center" vertical="center" wrapText="1"/>
    </xf>
    <xf numFmtId="14" fontId="8" fillId="0" borderId="0" xfId="0" applyNumberFormat="1" applyFont="1" applyBorder="1" applyAlignment="1">
      <alignment horizontal="center" vertical="center" wrapText="1"/>
    </xf>
    <xf numFmtId="0" fontId="18" fillId="0" borderId="0" xfId="0" applyFont="1" applyAlignment="1">
      <alignment horizontal="center"/>
    </xf>
    <xf numFmtId="0" fontId="18" fillId="5" borderId="0" xfId="0" applyFont="1" applyFill="1" applyAlignment="1">
      <alignment horizontal="center"/>
    </xf>
    <xf numFmtId="0" fontId="18" fillId="0" borderId="32" xfId="0" applyFont="1" applyBorder="1" applyAlignment="1">
      <alignment horizontal="center" vertical="center" wrapText="1" shrinkToFit="1"/>
    </xf>
    <xf numFmtId="0" fontId="18" fillId="0" borderId="6" xfId="0" applyFont="1" applyBorder="1" applyAlignment="1">
      <alignment horizontal="center" vertical="center" wrapText="1" shrinkToFit="1"/>
    </xf>
    <xf numFmtId="0" fontId="18" fillId="0" borderId="32"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0" xfId="0" applyFont="1" applyBorder="1" applyAlignment="1">
      <alignment horizontal="center" vertical="center" wrapText="1"/>
    </xf>
    <xf numFmtId="0" fontId="8" fillId="0" borderId="0" xfId="0" applyFont="1" applyBorder="1" applyAlignment="1">
      <alignment horizontal="center" vertical="center" wrapText="1" shrinkToFit="1"/>
    </xf>
    <xf numFmtId="0" fontId="11" fillId="0" borderId="0" xfId="0" applyFont="1" applyBorder="1" applyAlignment="1">
      <alignment horizontal="center"/>
    </xf>
    <xf numFmtId="14" fontId="18" fillId="0" borderId="32" xfId="0" applyNumberFormat="1" applyFont="1" applyBorder="1" applyAlignment="1">
      <alignment horizontal="center" vertical="center" wrapText="1"/>
    </xf>
    <xf numFmtId="14" fontId="18" fillId="0" borderId="1" xfId="0" applyNumberFormat="1"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0" xfId="0" applyFont="1" applyFill="1" applyAlignment="1">
      <alignment horizontal="center"/>
    </xf>
    <xf numFmtId="0" fontId="60"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8" xfId="0" applyFont="1" applyFill="1" applyBorder="1" applyAlignment="1">
      <alignment horizontal="center" vertical="center" wrapText="1"/>
    </xf>
    <xf numFmtId="14" fontId="18" fillId="0" borderId="5" xfId="0" applyNumberFormat="1" applyFont="1" applyFill="1" applyBorder="1" applyAlignment="1">
      <alignment horizontal="center" vertical="center" wrapText="1"/>
    </xf>
    <xf numFmtId="14" fontId="18" fillId="0" borderId="8" xfId="0" applyNumberFormat="1" applyFont="1" applyFill="1" applyBorder="1" applyAlignment="1">
      <alignment horizontal="center" vertical="center" wrapText="1"/>
    </xf>
    <xf numFmtId="0" fontId="18" fillId="0" borderId="7" xfId="0" applyFont="1" applyFill="1" applyBorder="1" applyAlignment="1">
      <alignment horizontal="center" vertical="center" wrapText="1" shrinkToFit="1"/>
    </xf>
    <xf numFmtId="0" fontId="18" fillId="0" borderId="16" xfId="0" applyFont="1" applyFill="1" applyBorder="1" applyAlignment="1">
      <alignment horizontal="center" vertical="center" wrapText="1" shrinkToFit="1"/>
    </xf>
    <xf numFmtId="0" fontId="2" fillId="4" borderId="1" xfId="0" applyFont="1" applyFill="1" applyBorder="1" applyAlignment="1">
      <alignment horizontal="center" wrapText="1"/>
    </xf>
    <xf numFmtId="0" fontId="21" fillId="0" borderId="40" xfId="0" applyFont="1" applyBorder="1" applyAlignment="1">
      <alignment horizontal="center"/>
    </xf>
    <xf numFmtId="0" fontId="21" fillId="0" borderId="41" xfId="0" applyFont="1" applyBorder="1" applyAlignment="1">
      <alignment horizontal="center"/>
    </xf>
    <xf numFmtId="0" fontId="21" fillId="0" borderId="32" xfId="0" applyFont="1" applyBorder="1" applyAlignment="1">
      <alignment horizontal="center"/>
    </xf>
    <xf numFmtId="0" fontId="21" fillId="0" borderId="1" xfId="0" applyFont="1" applyBorder="1" applyAlignment="1">
      <alignment horizontal="center"/>
    </xf>
    <xf numFmtId="0" fontId="2" fillId="0" borderId="38" xfId="0" applyFont="1" applyBorder="1" applyAlignment="1">
      <alignment horizontal="center"/>
    </xf>
    <xf numFmtId="0" fontId="2" fillId="0" borderId="21" xfId="0" applyFont="1" applyBorder="1" applyAlignment="1">
      <alignment horizontal="center"/>
    </xf>
    <xf numFmtId="0" fontId="2" fillId="0" borderId="27" xfId="0" applyFont="1" applyBorder="1" applyAlignment="1">
      <alignment horizontal="center"/>
    </xf>
    <xf numFmtId="0" fontId="2" fillId="0" borderId="27" xfId="0" applyFont="1" applyBorder="1" applyAlignment="1">
      <alignment horizontal="center" vertical="center" wrapText="1"/>
    </xf>
    <xf numFmtId="0" fontId="2" fillId="0" borderId="45" xfId="0" applyFont="1" applyBorder="1" applyAlignment="1">
      <alignment horizontal="center" vertical="center" wrapText="1"/>
    </xf>
    <xf numFmtId="0" fontId="28" fillId="0" borderId="0" xfId="0" applyFont="1" applyAlignment="1">
      <alignment horizontal="center"/>
    </xf>
    <xf numFmtId="0" fontId="22" fillId="0" borderId="0" xfId="0" applyFont="1" applyAlignment="1">
      <alignment horizontal="center"/>
    </xf>
    <xf numFmtId="0" fontId="18" fillId="0" borderId="3" xfId="0" applyFont="1" applyBorder="1" applyAlignment="1">
      <alignment horizontal="center" vertical="center" wrapText="1"/>
    </xf>
    <xf numFmtId="0" fontId="18" fillId="0" borderId="3" xfId="0" applyFont="1" applyBorder="1" applyAlignment="1">
      <alignment horizontal="center"/>
    </xf>
    <xf numFmtId="0" fontId="18" fillId="6" borderId="7" xfId="0" applyFont="1" applyFill="1" applyBorder="1" applyAlignment="1">
      <alignment horizontal="center" vertical="center" wrapText="1" shrinkToFit="1"/>
    </xf>
    <xf numFmtId="0" fontId="18" fillId="6" borderId="16" xfId="0" applyFont="1" applyFill="1" applyBorder="1" applyAlignment="1">
      <alignment horizontal="center" vertical="center" wrapText="1" shrinkToFit="1"/>
    </xf>
    <xf numFmtId="166" fontId="20" fillId="2" borderId="56" xfId="0" applyNumberFormat="1" applyFont="1" applyFill="1" applyBorder="1" applyAlignment="1">
      <alignment horizontal="center" vertical="center"/>
    </xf>
    <xf numFmtId="166" fontId="20" fillId="2" borderId="8" xfId="0" applyNumberFormat="1" applyFont="1" applyFill="1" applyBorder="1" applyAlignment="1">
      <alignment horizontal="center" vertical="center"/>
    </xf>
    <xf numFmtId="0" fontId="20" fillId="2" borderId="5"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56" xfId="0" applyFont="1" applyFill="1" applyBorder="1" applyAlignment="1">
      <alignment horizontal="center" vertical="center"/>
    </xf>
    <xf numFmtId="1" fontId="20" fillId="2" borderId="56" xfId="0" applyNumberFormat="1" applyFont="1" applyFill="1" applyBorder="1" applyAlignment="1">
      <alignment horizontal="center" vertical="center" wrapText="1"/>
    </xf>
    <xf numFmtId="1" fontId="20" fillId="2" borderId="8" xfId="0" applyNumberFormat="1" applyFont="1" applyFill="1" applyBorder="1" applyAlignment="1">
      <alignment horizontal="center" vertical="center" wrapText="1"/>
    </xf>
    <xf numFmtId="1" fontId="20" fillId="2" borderId="51" xfId="0" applyNumberFormat="1" applyFont="1" applyFill="1" applyBorder="1" applyAlignment="1">
      <alignment horizontal="center" vertical="center" wrapText="1"/>
    </xf>
    <xf numFmtId="1" fontId="20" fillId="2" borderId="54" xfId="0" applyNumberFormat="1" applyFont="1" applyFill="1" applyBorder="1" applyAlignment="1">
      <alignment horizontal="center" vertical="center" wrapText="1"/>
    </xf>
    <xf numFmtId="14" fontId="20" fillId="2" borderId="51" xfId="0" applyNumberFormat="1" applyFont="1" applyFill="1" applyBorder="1" applyAlignment="1">
      <alignment horizontal="center" vertical="center" wrapText="1"/>
    </xf>
    <xf numFmtId="14" fontId="20" fillId="2" borderId="54" xfId="0" applyNumberFormat="1" applyFont="1" applyFill="1" applyBorder="1" applyAlignment="1">
      <alignment horizontal="center" vertical="center" wrapText="1"/>
    </xf>
    <xf numFmtId="0" fontId="20" fillId="2" borderId="50" xfId="0" applyFont="1" applyFill="1" applyBorder="1" applyAlignment="1">
      <alignment horizontal="center" wrapText="1"/>
    </xf>
    <xf numFmtId="0" fontId="20" fillId="2" borderId="8" xfId="0" applyFont="1" applyFill="1" applyBorder="1" applyAlignment="1">
      <alignment horizontal="center" wrapText="1"/>
    </xf>
    <xf numFmtId="14" fontId="20" fillId="2" borderId="5" xfId="0" applyNumberFormat="1" applyFont="1" applyFill="1" applyBorder="1" applyAlignment="1">
      <alignment horizontal="center" vertical="center" wrapText="1"/>
    </xf>
    <xf numFmtId="14" fontId="20" fillId="2" borderId="8" xfId="0" applyNumberFormat="1" applyFont="1" applyFill="1" applyBorder="1" applyAlignment="1">
      <alignment horizontal="center" vertical="center" wrapText="1"/>
    </xf>
    <xf numFmtId="0" fontId="62" fillId="2" borderId="5" xfId="0" applyFont="1" applyFill="1" applyBorder="1" applyAlignment="1">
      <alignment horizontal="center" vertical="center" wrapText="1"/>
    </xf>
    <xf numFmtId="0" fontId="62" fillId="2" borderId="8" xfId="0" applyFont="1" applyFill="1" applyBorder="1" applyAlignment="1">
      <alignment horizontal="center" vertical="center" wrapText="1"/>
    </xf>
    <xf numFmtId="0" fontId="62" fillId="0" borderId="3" xfId="0" applyFont="1" applyBorder="1" applyAlignment="1">
      <alignment horizontal="justify" vertical="center"/>
    </xf>
    <xf numFmtId="0" fontId="20" fillId="2" borderId="56" xfId="0" applyFont="1" applyFill="1" applyBorder="1" applyAlignment="1">
      <alignment horizontal="center" wrapText="1"/>
    </xf>
    <xf numFmtId="14" fontId="20" fillId="2" borderId="56" xfId="0" applyNumberFormat="1" applyFont="1" applyFill="1" applyBorder="1" applyAlignment="1">
      <alignment horizontal="center" wrapText="1"/>
    </xf>
    <xf numFmtId="14" fontId="20" fillId="2" borderId="8" xfId="0" applyNumberFormat="1" applyFont="1" applyFill="1" applyBorder="1" applyAlignment="1">
      <alignment horizontal="center" wrapText="1"/>
    </xf>
    <xf numFmtId="14" fontId="20" fillId="2" borderId="51" xfId="0" applyNumberFormat="1" applyFont="1" applyFill="1" applyBorder="1" applyAlignment="1">
      <alignment horizontal="center" wrapText="1"/>
    </xf>
    <xf numFmtId="14" fontId="20" fillId="2" borderId="56" xfId="0" applyNumberFormat="1" applyFont="1" applyFill="1" applyBorder="1" applyAlignment="1">
      <alignment horizontal="center" vertical="center" wrapText="1"/>
    </xf>
    <xf numFmtId="1" fontId="20" fillId="2" borderId="5" xfId="0" applyNumberFormat="1" applyFont="1" applyFill="1" applyBorder="1" applyAlignment="1">
      <alignment horizontal="center" vertical="center" wrapText="1"/>
    </xf>
    <xf numFmtId="0" fontId="64" fillId="2" borderId="5" xfId="0" applyFont="1" applyFill="1" applyBorder="1" applyAlignment="1">
      <alignment horizontal="justify" vertical="center" wrapText="1"/>
    </xf>
    <xf numFmtId="0" fontId="64" fillId="2" borderId="8" xfId="0" applyFont="1" applyFill="1" applyBorder="1" applyAlignment="1">
      <alignment horizontal="justify" vertical="center" wrapText="1"/>
    </xf>
    <xf numFmtId="0" fontId="62" fillId="2" borderId="5" xfId="0" applyFont="1" applyFill="1" applyBorder="1" applyAlignment="1">
      <alignment horizontal="justify" vertical="center" wrapText="1"/>
    </xf>
    <xf numFmtId="0" fontId="62" fillId="2" borderId="8" xfId="0" applyFont="1" applyFill="1" applyBorder="1" applyAlignment="1">
      <alignment horizontal="justify" vertical="center" wrapText="1"/>
    </xf>
    <xf numFmtId="0" fontId="20" fillId="2" borderId="51" xfId="0" applyFont="1" applyFill="1" applyBorder="1" applyAlignment="1">
      <alignment horizontal="center" vertical="center"/>
    </xf>
    <xf numFmtId="0" fontId="20" fillId="2" borderId="54" xfId="0" applyFont="1" applyFill="1" applyBorder="1" applyAlignment="1">
      <alignment horizontal="center" vertical="center"/>
    </xf>
    <xf numFmtId="0" fontId="62" fillId="0" borderId="5" xfId="0" applyFont="1" applyBorder="1" applyAlignment="1">
      <alignment horizontal="center" vertical="center" wrapText="1"/>
    </xf>
    <xf numFmtId="0" fontId="62" fillId="0" borderId="8" xfId="0" applyFont="1" applyBorder="1" applyAlignment="1">
      <alignment horizontal="center" vertical="center" wrapText="1"/>
    </xf>
    <xf numFmtId="0" fontId="20" fillId="2" borderId="48" xfId="0" applyFont="1" applyFill="1" applyBorder="1" applyAlignment="1">
      <alignment horizontal="center" wrapText="1"/>
    </xf>
    <xf numFmtId="166" fontId="20" fillId="2" borderId="5" xfId="0" applyNumberFormat="1" applyFont="1" applyFill="1" applyBorder="1" applyAlignment="1">
      <alignment horizontal="center" vertical="center"/>
    </xf>
    <xf numFmtId="0" fontId="61" fillId="2" borderId="3" xfId="0" applyFont="1" applyFill="1" applyBorder="1" applyAlignment="1">
      <alignment horizontal="center" vertical="center"/>
    </xf>
    <xf numFmtId="0" fontId="72" fillId="0" borderId="0" xfId="0" applyFont="1" applyAlignment="1">
      <alignment horizontal="center"/>
    </xf>
    <xf numFmtId="0" fontId="61" fillId="2" borderId="5" xfId="0" applyFont="1" applyFill="1" applyBorder="1" applyAlignment="1">
      <alignment horizontal="center" vertical="center"/>
    </xf>
    <xf numFmtId="0" fontId="61" fillId="2" borderId="56" xfId="0" applyFont="1" applyFill="1" applyBorder="1" applyAlignment="1">
      <alignment horizontal="center" vertical="center"/>
    </xf>
    <xf numFmtId="0" fontId="61" fillId="2" borderId="3" xfId="0" applyFont="1" applyFill="1" applyBorder="1" applyAlignment="1">
      <alignment horizontal="center" vertical="center" wrapText="1" shrinkToFit="1"/>
    </xf>
    <xf numFmtId="0" fontId="61" fillId="2" borderId="3" xfId="0" applyFont="1" applyFill="1" applyBorder="1" applyAlignment="1">
      <alignment horizontal="center" vertical="center" wrapText="1"/>
    </xf>
    <xf numFmtId="0" fontId="61" fillId="2" borderId="5" xfId="0" applyFont="1" applyFill="1" applyBorder="1" applyAlignment="1">
      <alignment horizontal="center" vertical="center" wrapText="1"/>
    </xf>
    <xf numFmtId="0" fontId="61" fillId="2" borderId="56" xfId="0" applyFont="1" applyFill="1" applyBorder="1" applyAlignment="1">
      <alignment horizontal="center" vertical="center" wrapText="1"/>
    </xf>
    <xf numFmtId="0" fontId="61" fillId="2" borderId="5" xfId="0" applyFont="1" applyFill="1" applyBorder="1" applyAlignment="1">
      <alignment horizontal="center" vertical="center" wrapText="1" shrinkToFit="1"/>
    </xf>
    <xf numFmtId="0" fontId="61" fillId="2" borderId="56" xfId="0" applyFont="1" applyFill="1" applyBorder="1" applyAlignment="1">
      <alignment horizontal="center" vertical="center" wrapText="1" shrinkToFit="1"/>
    </xf>
    <xf numFmtId="0" fontId="61" fillId="2" borderId="8" xfId="0" applyFont="1" applyFill="1" applyBorder="1" applyAlignment="1">
      <alignment horizontal="center" vertical="center" wrapText="1"/>
    </xf>
    <xf numFmtId="0" fontId="61" fillId="2" borderId="8" xfId="0" applyFont="1" applyFill="1" applyBorder="1" applyAlignment="1">
      <alignment horizontal="center" vertical="center"/>
    </xf>
    <xf numFmtId="0" fontId="20" fillId="2" borderId="5" xfId="0" applyFont="1" applyFill="1" applyBorder="1" applyAlignment="1">
      <alignment horizontal="center" vertical="center" wrapText="1"/>
    </xf>
    <xf numFmtId="0" fontId="20" fillId="2" borderId="8" xfId="0" applyFont="1" applyFill="1" applyBorder="1" applyAlignment="1">
      <alignment horizontal="center" vertical="center" wrapText="1"/>
    </xf>
    <xf numFmtId="14" fontId="75" fillId="2" borderId="5" xfId="0" applyNumberFormat="1" applyFont="1" applyFill="1" applyBorder="1" applyAlignment="1">
      <alignment horizontal="center" vertical="center" wrapText="1"/>
    </xf>
    <xf numFmtId="14" fontId="75" fillId="2" borderId="8" xfId="0" applyNumberFormat="1" applyFont="1" applyFill="1" applyBorder="1" applyAlignment="1">
      <alignment horizontal="center" vertical="center" wrapText="1"/>
    </xf>
    <xf numFmtId="0" fontId="20" fillId="2" borderId="5" xfId="0" applyFont="1" applyFill="1" applyBorder="1" applyAlignment="1">
      <alignment horizontal="justify" vertical="center" wrapText="1"/>
    </xf>
    <xf numFmtId="0" fontId="20" fillId="2" borderId="8" xfId="0" applyFont="1" applyFill="1" applyBorder="1" applyAlignment="1">
      <alignment horizontal="justify" vertical="center" wrapText="1"/>
    </xf>
    <xf numFmtId="0" fontId="18" fillId="0" borderId="48" xfId="0" applyFont="1" applyFill="1" applyBorder="1" applyAlignment="1">
      <alignment horizontal="center" vertical="center" wrapText="1"/>
    </xf>
    <xf numFmtId="0" fontId="18" fillId="0" borderId="50" xfId="0" applyFont="1" applyFill="1" applyBorder="1" applyAlignment="1">
      <alignment horizontal="center" vertical="center" wrapText="1"/>
    </xf>
    <xf numFmtId="0" fontId="18" fillId="7" borderId="3" xfId="0" applyFont="1" applyFill="1" applyBorder="1" applyAlignment="1">
      <alignment horizontal="center" vertical="center" wrapText="1" shrinkToFit="1"/>
    </xf>
    <xf numFmtId="0" fontId="18" fillId="0" borderId="56" xfId="0" applyFont="1" applyFill="1" applyBorder="1" applyAlignment="1">
      <alignment horizontal="center" vertical="center" wrapText="1"/>
    </xf>
    <xf numFmtId="0" fontId="32" fillId="0" borderId="3" xfId="0" applyFont="1" applyBorder="1" applyAlignment="1">
      <alignment horizontal="center" vertical="center" wrapText="1"/>
    </xf>
    <xf numFmtId="0" fontId="32" fillId="0" borderId="3" xfId="0" applyFont="1" applyBorder="1" applyAlignment="1">
      <alignment horizontal="center" vertical="center"/>
    </xf>
    <xf numFmtId="0" fontId="21" fillId="0" borderId="23"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9" xfId="0" applyFont="1" applyBorder="1" applyAlignment="1">
      <alignment horizontal="center"/>
    </xf>
    <xf numFmtId="0" fontId="21" fillId="0" borderId="3" xfId="0" applyFont="1" applyBorder="1" applyAlignment="1">
      <alignment horizontal="center"/>
    </xf>
    <xf numFmtId="0" fontId="21" fillId="0" borderId="4" xfId="0" applyFont="1" applyBorder="1" applyAlignment="1">
      <alignment horizontal="center"/>
    </xf>
    <xf numFmtId="0" fontId="21" fillId="4" borderId="14"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24" xfId="0" applyFont="1" applyFill="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21" xfId="0" applyFont="1" applyBorder="1" applyAlignment="1">
      <alignment horizontal="center" vertical="center" wrapText="1"/>
    </xf>
    <xf numFmtId="0" fontId="21" fillId="4" borderId="35" xfId="0" applyFont="1" applyFill="1" applyBorder="1" applyAlignment="1">
      <alignment horizontal="center"/>
    </xf>
    <xf numFmtId="0" fontId="21" fillId="4" borderId="17" xfId="0" applyFont="1" applyFill="1" applyBorder="1" applyAlignment="1">
      <alignment horizontal="center"/>
    </xf>
    <xf numFmtId="0" fontId="21" fillId="4" borderId="5" xfId="0" applyFont="1" applyFill="1" applyBorder="1" applyAlignment="1">
      <alignment horizontal="center"/>
    </xf>
    <xf numFmtId="0" fontId="21" fillId="4" borderId="8" xfId="0" applyFont="1" applyFill="1" applyBorder="1" applyAlignment="1">
      <alignment horizontal="center"/>
    </xf>
    <xf numFmtId="0" fontId="21" fillId="4" borderId="7" xfId="0" applyFont="1" applyFill="1" applyBorder="1" applyAlignment="1">
      <alignment horizontal="center"/>
    </xf>
    <xf numFmtId="0" fontId="21" fillId="4" borderId="20" xfId="0" applyFont="1" applyFill="1" applyBorder="1" applyAlignment="1">
      <alignment horizontal="center"/>
    </xf>
    <xf numFmtId="0" fontId="32" fillId="0" borderId="7" xfId="0" applyFont="1" applyFill="1" applyBorder="1" applyAlignment="1">
      <alignment horizontal="center" vertical="center"/>
    </xf>
    <xf numFmtId="0" fontId="32" fillId="0" borderId="12" xfId="0" applyFont="1" applyFill="1" applyBorder="1" applyAlignment="1">
      <alignment horizontal="center" vertical="center"/>
    </xf>
    <xf numFmtId="0" fontId="32" fillId="0" borderId="1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6" xfId="0" applyFont="1" applyFill="1" applyBorder="1" applyAlignment="1">
      <alignment horizontal="center" vertical="center"/>
    </xf>
    <xf numFmtId="0" fontId="32" fillId="0" borderId="9"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4" xfId="0" applyFont="1" applyFill="1" applyBorder="1" applyAlignment="1">
      <alignment horizontal="center" vertical="center"/>
    </xf>
    <xf numFmtId="0" fontId="22" fillId="0" borderId="0" xfId="0" applyFont="1" applyFill="1" applyAlignment="1">
      <alignment horizontal="center" vertical="center" wrapText="1"/>
    </xf>
    <xf numFmtId="0" fontId="22" fillId="0" borderId="53" xfId="0" applyFont="1" applyFill="1" applyBorder="1" applyAlignment="1">
      <alignment horizontal="center" vertical="center" wrapText="1"/>
    </xf>
    <xf numFmtId="0" fontId="40" fillId="0" borderId="0"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9" xfId="0" applyFont="1" applyFill="1" applyBorder="1" applyAlignment="1">
      <alignment horizontal="center" vertical="center"/>
    </xf>
    <xf numFmtId="0" fontId="33" fillId="0" borderId="49" xfId="0" applyFont="1" applyFill="1" applyBorder="1" applyAlignment="1">
      <alignment horizontal="center" vertical="center"/>
    </xf>
    <xf numFmtId="0" fontId="33" fillId="0" borderId="50" xfId="0" applyFont="1" applyFill="1" applyBorder="1" applyAlignment="1">
      <alignment horizontal="center" vertical="center"/>
    </xf>
    <xf numFmtId="0" fontId="6" fillId="0" borderId="0" xfId="0" applyFont="1" applyFill="1" applyAlignment="1">
      <alignment vertical="center"/>
    </xf>
    <xf numFmtId="0" fontId="66" fillId="0" borderId="7" xfId="0" applyFont="1" applyFill="1" applyBorder="1" applyAlignment="1">
      <alignment horizontal="center" vertical="center"/>
    </xf>
    <xf numFmtId="0" fontId="66" fillId="0" borderId="12" xfId="0" applyFont="1" applyFill="1" applyBorder="1" applyAlignment="1">
      <alignment horizontal="center" vertical="center"/>
    </xf>
    <xf numFmtId="0" fontId="66" fillId="0" borderId="16" xfId="0" applyFont="1" applyFill="1" applyBorder="1" applyAlignment="1">
      <alignment horizontal="center" vertical="center"/>
    </xf>
    <xf numFmtId="0" fontId="61" fillId="0" borderId="7" xfId="0" applyFont="1" applyFill="1" applyBorder="1" applyAlignment="1">
      <alignment horizontal="center" vertical="center" wrapText="1"/>
    </xf>
    <xf numFmtId="0" fontId="61" fillId="0" borderId="12"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22" fillId="0" borderId="51" xfId="0" applyFont="1" applyFill="1" applyBorder="1" applyAlignment="1">
      <alignment horizontal="center" vertical="center"/>
    </xf>
    <xf numFmtId="0" fontId="22"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52" xfId="0" applyFont="1" applyFill="1" applyBorder="1" applyAlignment="1">
      <alignment horizontal="center" vertical="center"/>
    </xf>
    <xf numFmtId="0" fontId="32" fillId="0" borderId="14"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0" borderId="24"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53" xfId="0" applyFont="1" applyFill="1" applyBorder="1" applyAlignment="1">
      <alignment horizontal="center" vertical="center" wrapText="1"/>
    </xf>
    <xf numFmtId="0" fontId="37" fillId="0" borderId="0" xfId="0" applyFont="1" applyFill="1" applyBorder="1" applyAlignment="1">
      <alignment vertical="center"/>
    </xf>
    <xf numFmtId="0" fontId="21" fillId="0" borderId="16"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32" fillId="0" borderId="23" xfId="0" applyFont="1" applyFill="1" applyBorder="1" applyAlignment="1">
      <alignment horizontal="center" vertical="center"/>
    </xf>
    <xf numFmtId="0" fontId="32" fillId="0" borderId="32"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23" xfId="0" applyFont="1" applyFill="1" applyBorder="1" applyAlignment="1">
      <alignment horizontal="center" vertical="center" wrapText="1"/>
    </xf>
    <xf numFmtId="0" fontId="32" fillId="0" borderId="32"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61" fillId="0" borderId="3" xfId="0" applyFont="1" applyFill="1" applyBorder="1" applyAlignment="1">
      <alignment horizontal="center" vertical="center" wrapText="1"/>
    </xf>
    <xf numFmtId="0" fontId="32" fillId="0" borderId="42" xfId="0" applyFont="1" applyBorder="1" applyAlignment="1">
      <alignment horizontal="center" vertical="center" wrapText="1"/>
    </xf>
    <xf numFmtId="0" fontId="32" fillId="0" borderId="46" xfId="0" applyFont="1" applyBorder="1" applyAlignment="1">
      <alignment horizontal="center" vertical="center" wrapText="1"/>
    </xf>
    <xf numFmtId="0" fontId="21" fillId="0" borderId="0" xfId="0" applyFont="1" applyAlignment="1">
      <alignment horizontal="center"/>
    </xf>
    <xf numFmtId="0" fontId="32" fillId="0" borderId="38" xfId="0" applyFont="1" applyBorder="1" applyAlignment="1">
      <alignment horizontal="center" vertical="center" wrapText="1"/>
    </xf>
    <xf numFmtId="0" fontId="32" fillId="0" borderId="39" xfId="0" applyFont="1" applyBorder="1" applyAlignment="1">
      <alignment horizontal="center" vertical="center" wrapText="1"/>
    </xf>
    <xf numFmtId="0" fontId="32" fillId="0" borderId="43"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47" xfId="0" applyFont="1" applyBorder="1" applyAlignment="1">
      <alignment horizontal="center" vertical="center" wrapText="1"/>
    </xf>
    <xf numFmtId="0" fontId="32" fillId="0" borderId="44" xfId="0" applyFont="1" applyBorder="1" applyAlignment="1">
      <alignment horizontal="center" vertical="center" wrapText="1"/>
    </xf>
  </cellXfs>
  <cellStyles count="6">
    <cellStyle name="Millares" xfId="5" builtinId="3"/>
    <cellStyle name="Normal" xfId="0" builtinId="0"/>
    <cellStyle name="Normal 2" xfId="1" xr:uid="{00000000-0005-0000-0000-000002000000}"/>
    <cellStyle name="Normal 3" xfId="2" xr:uid="{00000000-0005-0000-0000-000003000000}"/>
    <cellStyle name="Porcentaje 2" xfId="3" xr:uid="{00000000-0005-0000-0000-000004000000}"/>
    <cellStyle name="Porcentaje 3"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M73"/>
  <sheetViews>
    <sheetView topLeftCell="A16" zoomScaleNormal="100" workbookViewId="0">
      <selection activeCell="A9" sqref="A9:B9"/>
    </sheetView>
  </sheetViews>
  <sheetFormatPr baseColWidth="10" defaultRowHeight="12.75" x14ac:dyDescent="0.2"/>
  <cols>
    <col min="1" max="1" width="4.28515625" customWidth="1"/>
    <col min="2" max="2" width="70.140625" customWidth="1"/>
    <col min="3" max="3" width="9.42578125" bestFit="1" customWidth="1"/>
    <col min="4" max="4" width="16.28515625" customWidth="1"/>
    <col min="5" max="5" width="24.28515625" customWidth="1"/>
    <col min="6" max="6" width="13.140625" style="110" customWidth="1"/>
    <col min="7" max="7" width="20.5703125" customWidth="1"/>
    <col min="8" max="8" width="13.42578125" style="117" customWidth="1"/>
    <col min="9" max="9" width="4.28515625" bestFit="1" customWidth="1"/>
  </cols>
  <sheetData>
    <row r="1" spans="1:8" s="59" customFormat="1" x14ac:dyDescent="0.2">
      <c r="A1" s="31" t="s">
        <v>22</v>
      </c>
      <c r="B1" s="31"/>
      <c r="C1" s="30"/>
      <c r="D1" s="30"/>
      <c r="E1" s="30"/>
      <c r="F1" s="100"/>
      <c r="G1" s="30"/>
      <c r="H1" s="111"/>
    </row>
    <row r="2" spans="1:8" s="59" customFormat="1" x14ac:dyDescent="0.2">
      <c r="A2" s="31" t="s">
        <v>11</v>
      </c>
      <c r="B2" s="31"/>
      <c r="C2" s="30"/>
      <c r="D2" s="30"/>
      <c r="E2" s="30"/>
      <c r="F2" s="100"/>
      <c r="G2" s="30"/>
      <c r="H2" s="111"/>
    </row>
    <row r="3" spans="1:8" s="59" customFormat="1" x14ac:dyDescent="0.2">
      <c r="A3" s="60"/>
      <c r="B3" s="60"/>
      <c r="C3" s="30"/>
      <c r="D3" s="30"/>
      <c r="E3" s="30"/>
      <c r="F3" s="100"/>
      <c r="G3" s="30"/>
      <c r="H3" s="61" t="s">
        <v>9</v>
      </c>
    </row>
    <row r="4" spans="1:8" s="59" customFormat="1" x14ac:dyDescent="0.2">
      <c r="A4" s="647" t="s">
        <v>0</v>
      </c>
      <c r="B4" s="647"/>
      <c r="C4" s="647"/>
      <c r="D4" s="647"/>
      <c r="E4" s="647"/>
      <c r="F4" s="647"/>
      <c r="G4" s="647"/>
      <c r="H4" s="647"/>
    </row>
    <row r="5" spans="1:8" s="59" customFormat="1" x14ac:dyDescent="0.2">
      <c r="A5" s="648" t="s">
        <v>71</v>
      </c>
      <c r="B5" s="648"/>
      <c r="C5" s="648"/>
      <c r="D5" s="648"/>
      <c r="E5" s="648"/>
      <c r="F5" s="648"/>
      <c r="G5" s="648"/>
      <c r="H5" s="648"/>
    </row>
    <row r="6" spans="1:8" ht="13.5" thickBot="1" x14ac:dyDescent="0.25">
      <c r="A6" s="30"/>
      <c r="B6" s="30"/>
      <c r="C6" s="30"/>
      <c r="D6" s="30"/>
      <c r="E6" s="30"/>
      <c r="F6" s="100"/>
      <c r="G6" s="30"/>
      <c r="H6" s="111"/>
    </row>
    <row r="7" spans="1:8" ht="27" customHeight="1" x14ac:dyDescent="0.2">
      <c r="A7" s="653" t="s">
        <v>1</v>
      </c>
      <c r="B7" s="651" t="s">
        <v>18</v>
      </c>
      <c r="C7" s="651" t="s">
        <v>7</v>
      </c>
      <c r="D7" s="651" t="s">
        <v>8</v>
      </c>
      <c r="E7" s="651" t="s">
        <v>10</v>
      </c>
      <c r="F7" s="657" t="s">
        <v>2</v>
      </c>
      <c r="G7" s="649" t="s">
        <v>69</v>
      </c>
      <c r="H7" s="650"/>
    </row>
    <row r="8" spans="1:8" ht="13.5" thickBot="1" x14ac:dyDescent="0.25">
      <c r="A8" s="654"/>
      <c r="B8" s="652"/>
      <c r="C8" s="652"/>
      <c r="D8" s="652"/>
      <c r="E8" s="652"/>
      <c r="F8" s="658"/>
      <c r="G8" s="168" t="s">
        <v>3</v>
      </c>
      <c r="H8" s="32" t="s">
        <v>4</v>
      </c>
    </row>
    <row r="9" spans="1:8" ht="12.75" customHeight="1" x14ac:dyDescent="0.2">
      <c r="A9" s="177" t="s">
        <v>20</v>
      </c>
      <c r="B9" s="76"/>
      <c r="C9" s="77"/>
      <c r="D9" s="77"/>
      <c r="E9" s="77"/>
      <c r="F9" s="101"/>
      <c r="G9" s="77"/>
      <c r="H9" s="112"/>
    </row>
    <row r="10" spans="1:8" ht="25.5" x14ac:dyDescent="0.2">
      <c r="A10" s="55">
        <v>1</v>
      </c>
      <c r="B10" s="52" t="s">
        <v>98</v>
      </c>
      <c r="C10" s="82">
        <v>264</v>
      </c>
      <c r="D10" s="33" t="s">
        <v>89</v>
      </c>
      <c r="E10" s="33" t="s">
        <v>99</v>
      </c>
      <c r="F10" s="34">
        <v>42790</v>
      </c>
      <c r="G10" s="45" t="s">
        <v>100</v>
      </c>
      <c r="H10" s="35">
        <v>42790</v>
      </c>
    </row>
    <row r="11" spans="1:8" ht="12" customHeight="1" x14ac:dyDescent="0.2">
      <c r="A11" s="659" t="s">
        <v>108</v>
      </c>
      <c r="B11" s="660"/>
      <c r="C11" s="83"/>
      <c r="D11" s="266"/>
      <c r="E11" s="266"/>
      <c r="F11" s="267"/>
      <c r="G11" s="268"/>
      <c r="H11" s="176"/>
    </row>
    <row r="12" spans="1:8" ht="36" x14ac:dyDescent="0.2">
      <c r="A12" s="175"/>
      <c r="B12" s="269" t="s">
        <v>109</v>
      </c>
      <c r="C12" s="83">
        <v>13</v>
      </c>
      <c r="D12" s="33" t="s">
        <v>89</v>
      </c>
      <c r="E12" s="33" t="s">
        <v>110</v>
      </c>
      <c r="F12" s="34">
        <v>42916</v>
      </c>
      <c r="G12" s="45" t="s">
        <v>111</v>
      </c>
      <c r="H12" s="34">
        <v>42916</v>
      </c>
    </row>
    <row r="13" spans="1:8" ht="15" customHeight="1" x14ac:dyDescent="0.2">
      <c r="A13" s="58" t="s">
        <v>59</v>
      </c>
      <c r="B13" s="57"/>
      <c r="C13" s="83"/>
    </row>
    <row r="14" spans="1:8" x14ac:dyDescent="0.2">
      <c r="A14" s="55">
        <v>2</v>
      </c>
      <c r="B14" s="54" t="s">
        <v>112</v>
      </c>
      <c r="C14" s="82" t="e">
        <f>VLOOKUP(A14,#REF!,15,FALSE)</f>
        <v>#REF!</v>
      </c>
      <c r="D14" s="33" t="s">
        <v>91</v>
      </c>
      <c r="E14" s="33"/>
      <c r="F14" s="34"/>
      <c r="G14" s="45"/>
      <c r="H14" s="35"/>
    </row>
    <row r="15" spans="1:8" x14ac:dyDescent="0.2">
      <c r="A15" s="175">
        <v>3</v>
      </c>
      <c r="B15" s="54" t="s">
        <v>113</v>
      </c>
      <c r="C15" s="82">
        <v>0</v>
      </c>
      <c r="D15" s="33" t="s">
        <v>91</v>
      </c>
      <c r="E15" s="33"/>
      <c r="F15" s="34"/>
      <c r="G15" s="45"/>
      <c r="H15" s="176"/>
    </row>
    <row r="16" spans="1:8" ht="14.25" customHeight="1" x14ac:dyDescent="0.2">
      <c r="A16" s="58" t="s">
        <v>60</v>
      </c>
      <c r="B16" s="56"/>
      <c r="C16" s="83"/>
      <c r="D16" s="57"/>
      <c r="E16" s="57"/>
      <c r="F16" s="102"/>
      <c r="G16" s="57"/>
      <c r="H16" s="113"/>
    </row>
    <row r="17" spans="1:13" x14ac:dyDescent="0.2">
      <c r="A17" s="55">
        <v>4</v>
      </c>
      <c r="B17" s="54"/>
      <c r="C17" s="160"/>
      <c r="D17" s="47"/>
      <c r="E17" s="33"/>
      <c r="F17" s="161"/>
      <c r="G17" s="162"/>
      <c r="H17" s="163"/>
      <c r="I17" t="s">
        <v>96</v>
      </c>
    </row>
    <row r="18" spans="1:13" x14ac:dyDescent="0.2">
      <c r="A18" s="58" t="s">
        <v>5</v>
      </c>
      <c r="B18" s="58"/>
      <c r="C18" s="164"/>
      <c r="D18" s="165"/>
      <c r="E18" s="165"/>
      <c r="F18" s="166"/>
      <c r="G18" s="165"/>
      <c r="H18" s="167"/>
    </row>
    <row r="19" spans="1:13" ht="38.25" x14ac:dyDescent="0.2">
      <c r="A19" s="55">
        <v>5</v>
      </c>
      <c r="B19" s="270" t="s">
        <v>116</v>
      </c>
      <c r="C19" s="160">
        <v>17</v>
      </c>
      <c r="D19" s="47" t="s">
        <v>89</v>
      </c>
      <c r="E19" s="33" t="s">
        <v>114</v>
      </c>
      <c r="F19" s="161">
        <v>42877</v>
      </c>
      <c r="G19" s="162" t="s">
        <v>115</v>
      </c>
      <c r="H19" s="163">
        <v>42878</v>
      </c>
    </row>
    <row r="20" spans="1:13" ht="36" x14ac:dyDescent="0.2">
      <c r="A20" s="55"/>
      <c r="B20" s="280" t="s">
        <v>136</v>
      </c>
      <c r="C20" s="160">
        <v>26</v>
      </c>
      <c r="D20" s="47" t="s">
        <v>90</v>
      </c>
      <c r="E20" s="33"/>
      <c r="F20" s="161"/>
      <c r="G20" s="162"/>
      <c r="H20" s="163"/>
    </row>
    <row r="21" spans="1:13" ht="60" x14ac:dyDescent="0.2">
      <c r="A21" s="55"/>
      <c r="B21" s="278" t="s">
        <v>135</v>
      </c>
      <c r="C21" s="160">
        <v>9</v>
      </c>
      <c r="D21" s="47" t="s">
        <v>90</v>
      </c>
      <c r="E21" s="33"/>
      <c r="F21" s="161"/>
      <c r="G21" s="162"/>
      <c r="H21" s="163"/>
    </row>
    <row r="22" spans="1:13" ht="38.25" x14ac:dyDescent="0.2">
      <c r="A22" s="55">
        <v>6</v>
      </c>
      <c r="B22" s="54" t="s">
        <v>117</v>
      </c>
      <c r="C22" s="160">
        <v>23</v>
      </c>
      <c r="D22" s="47" t="s">
        <v>90</v>
      </c>
      <c r="E22" s="47"/>
      <c r="F22" s="161"/>
      <c r="G22" s="162"/>
      <c r="H22" s="163"/>
    </row>
    <row r="23" spans="1:13" x14ac:dyDescent="0.2">
      <c r="A23" s="58" t="s">
        <v>6</v>
      </c>
      <c r="B23" s="58"/>
      <c r="C23" s="83"/>
      <c r="D23" s="78"/>
      <c r="E23" s="78"/>
      <c r="F23" s="103"/>
      <c r="G23" s="78"/>
      <c r="H23" s="114"/>
    </row>
    <row r="24" spans="1:13" ht="38.25" x14ac:dyDescent="0.2">
      <c r="A24" s="55">
        <v>12</v>
      </c>
      <c r="B24" s="178" t="s">
        <v>101</v>
      </c>
      <c r="C24" s="82">
        <v>48</v>
      </c>
      <c r="D24" s="33" t="s">
        <v>89</v>
      </c>
      <c r="E24" s="33" t="s">
        <v>102</v>
      </c>
      <c r="F24" s="161" t="s">
        <v>103</v>
      </c>
      <c r="G24" s="162" t="s">
        <v>104</v>
      </c>
      <c r="H24" s="163">
        <v>42850</v>
      </c>
      <c r="J24" s="11"/>
      <c r="K24" s="11"/>
      <c r="L24" s="11"/>
      <c r="M24" s="11"/>
    </row>
    <row r="25" spans="1:13" ht="38.25" x14ac:dyDescent="0.2">
      <c r="A25" s="55">
        <v>13</v>
      </c>
      <c r="B25" s="178" t="s">
        <v>105</v>
      </c>
      <c r="C25" s="82">
        <v>3</v>
      </c>
      <c r="D25" s="33" t="s">
        <v>90</v>
      </c>
      <c r="E25" s="45"/>
      <c r="F25" s="34"/>
      <c r="G25" s="45"/>
      <c r="H25" s="48"/>
      <c r="J25" s="11"/>
      <c r="K25" s="11"/>
      <c r="L25" s="11"/>
      <c r="M25" s="11"/>
    </row>
    <row r="26" spans="1:13" ht="38.25" x14ac:dyDescent="0.2">
      <c r="A26" s="55">
        <v>14</v>
      </c>
      <c r="B26" s="178" t="s">
        <v>106</v>
      </c>
      <c r="C26" s="82">
        <v>17</v>
      </c>
      <c r="D26" s="33" t="s">
        <v>91</v>
      </c>
      <c r="E26" s="45"/>
      <c r="F26" s="34"/>
      <c r="G26" s="45"/>
      <c r="H26" s="48"/>
      <c r="J26" s="11"/>
      <c r="K26" s="11"/>
      <c r="L26" s="11"/>
      <c r="M26" s="11"/>
    </row>
    <row r="27" spans="1:13" ht="38.25" x14ac:dyDescent="0.2">
      <c r="A27" s="55">
        <v>15</v>
      </c>
      <c r="B27" s="178" t="s">
        <v>107</v>
      </c>
      <c r="C27" s="82">
        <v>7</v>
      </c>
      <c r="D27" s="33" t="s">
        <v>91</v>
      </c>
      <c r="E27" s="45"/>
      <c r="F27" s="34"/>
      <c r="G27" s="45"/>
      <c r="H27" s="48"/>
      <c r="J27" s="11"/>
      <c r="K27" s="11"/>
      <c r="L27" s="11"/>
      <c r="M27" s="11"/>
    </row>
    <row r="28" spans="1:13" ht="38.25" x14ac:dyDescent="0.2">
      <c r="A28" s="55">
        <v>17</v>
      </c>
      <c r="B28" s="178" t="s">
        <v>118</v>
      </c>
      <c r="C28" s="82">
        <v>2</v>
      </c>
      <c r="D28" s="33" t="s">
        <v>91</v>
      </c>
      <c r="E28" s="33"/>
      <c r="F28" s="34"/>
      <c r="G28" s="45"/>
      <c r="H28" s="48"/>
      <c r="J28" s="81"/>
      <c r="K28" s="11"/>
      <c r="L28" s="11"/>
      <c r="M28" s="11"/>
    </row>
    <row r="29" spans="1:13" x14ac:dyDescent="0.2">
      <c r="A29" s="58" t="s">
        <v>119</v>
      </c>
      <c r="B29" s="58"/>
      <c r="C29" s="83"/>
      <c r="D29" s="78"/>
      <c r="E29" s="78"/>
      <c r="F29" s="103"/>
      <c r="G29" s="78"/>
      <c r="H29" s="114"/>
      <c r="J29" s="81"/>
      <c r="K29" s="11"/>
      <c r="L29" s="11"/>
      <c r="M29" s="11"/>
    </row>
    <row r="30" spans="1:13" ht="38.25" x14ac:dyDescent="0.2">
      <c r="A30" s="55">
        <v>12</v>
      </c>
      <c r="B30" s="270" t="s">
        <v>120</v>
      </c>
      <c r="C30" s="82">
        <v>25</v>
      </c>
      <c r="D30" s="33" t="s">
        <v>89</v>
      </c>
      <c r="E30" s="33" t="s">
        <v>125</v>
      </c>
      <c r="F30" s="161" t="s">
        <v>121</v>
      </c>
      <c r="G30" s="162" t="s">
        <v>122</v>
      </c>
      <c r="H30" s="163">
        <v>42906</v>
      </c>
      <c r="J30" s="81"/>
      <c r="K30" s="11"/>
      <c r="L30" s="11"/>
      <c r="M30" s="11"/>
    </row>
    <row r="31" spans="1:13" ht="25.5" x14ac:dyDescent="0.2">
      <c r="A31" s="55">
        <v>12</v>
      </c>
      <c r="B31" s="272" t="s">
        <v>123</v>
      </c>
      <c r="C31" s="82">
        <v>21</v>
      </c>
      <c r="D31" s="33" t="s">
        <v>90</v>
      </c>
      <c r="E31" s="33" t="s">
        <v>124</v>
      </c>
      <c r="F31" s="161" t="s">
        <v>121</v>
      </c>
      <c r="G31" s="162" t="s">
        <v>130</v>
      </c>
      <c r="H31" s="162" t="s">
        <v>130</v>
      </c>
      <c r="J31" s="81"/>
      <c r="K31" s="11"/>
      <c r="L31" s="11"/>
      <c r="M31" s="11"/>
    </row>
    <row r="32" spans="1:13" ht="38.25" x14ac:dyDescent="0.2">
      <c r="A32" s="55">
        <v>12</v>
      </c>
      <c r="B32" s="273" t="s">
        <v>126</v>
      </c>
      <c r="C32" s="82">
        <v>36</v>
      </c>
      <c r="D32" s="33" t="s">
        <v>89</v>
      </c>
      <c r="E32" s="33" t="s">
        <v>127</v>
      </c>
      <c r="F32" s="161" t="s">
        <v>121</v>
      </c>
      <c r="G32" s="162" t="s">
        <v>128</v>
      </c>
      <c r="H32" s="163">
        <v>42916</v>
      </c>
      <c r="J32" s="81"/>
      <c r="K32" s="11"/>
      <c r="L32" s="11"/>
      <c r="M32" s="11"/>
    </row>
    <row r="33" spans="1:13" ht="38.25" x14ac:dyDescent="0.2">
      <c r="A33" s="55">
        <v>12</v>
      </c>
      <c r="B33" s="274" t="s">
        <v>129</v>
      </c>
      <c r="C33" s="82">
        <v>94</v>
      </c>
      <c r="D33" s="33" t="s">
        <v>90</v>
      </c>
      <c r="E33" s="162" t="s">
        <v>130</v>
      </c>
      <c r="F33" s="162" t="s">
        <v>130</v>
      </c>
      <c r="G33" s="162" t="s">
        <v>130</v>
      </c>
      <c r="H33" s="162" t="s">
        <v>130</v>
      </c>
      <c r="J33" s="81"/>
      <c r="K33" s="11"/>
      <c r="L33" s="11"/>
      <c r="M33" s="11"/>
    </row>
    <row r="34" spans="1:13" ht="40.5" customHeight="1" x14ac:dyDescent="0.2">
      <c r="A34" s="55">
        <v>12</v>
      </c>
      <c r="B34" s="275" t="s">
        <v>131</v>
      </c>
      <c r="C34" s="82">
        <v>59</v>
      </c>
      <c r="D34" s="33" t="s">
        <v>89</v>
      </c>
      <c r="E34" s="33" t="s">
        <v>132</v>
      </c>
      <c r="F34" s="161" t="s">
        <v>133</v>
      </c>
      <c r="G34" s="162" t="s">
        <v>130</v>
      </c>
      <c r="H34" s="162" t="s">
        <v>130</v>
      </c>
      <c r="J34" s="11"/>
      <c r="K34" s="11"/>
      <c r="L34" s="11"/>
      <c r="M34" s="11"/>
    </row>
    <row r="35" spans="1:13" ht="29.25" customHeight="1" x14ac:dyDescent="0.2">
      <c r="A35" s="58" t="s">
        <v>74</v>
      </c>
      <c r="B35" s="58"/>
      <c r="C35" s="83"/>
      <c r="D35" s="78"/>
      <c r="E35" s="78"/>
      <c r="F35" s="103"/>
      <c r="G35" s="78"/>
      <c r="H35" s="114"/>
      <c r="J35" s="11"/>
      <c r="K35" s="11"/>
      <c r="L35" s="11"/>
      <c r="M35" s="11"/>
    </row>
    <row r="36" spans="1:13" ht="29.25" customHeight="1" x14ac:dyDescent="0.2">
      <c r="A36" s="55">
        <v>12</v>
      </c>
      <c r="B36" s="279" t="s">
        <v>134</v>
      </c>
      <c r="C36" s="82">
        <v>11</v>
      </c>
      <c r="D36" s="33" t="s">
        <v>90</v>
      </c>
      <c r="E36" s="162" t="s">
        <v>130</v>
      </c>
      <c r="F36" s="162" t="s">
        <v>130</v>
      </c>
      <c r="G36" s="162" t="s">
        <v>130</v>
      </c>
      <c r="H36" s="162" t="s">
        <v>130</v>
      </c>
      <c r="J36" s="11"/>
      <c r="K36" s="11"/>
      <c r="L36" s="11"/>
      <c r="M36" s="11"/>
    </row>
    <row r="37" spans="1:13" ht="29.25" customHeight="1" x14ac:dyDescent="0.2">
      <c r="A37" s="173"/>
      <c r="B37" s="275"/>
      <c r="C37" s="271"/>
      <c r="D37" s="173"/>
      <c r="E37" s="173"/>
      <c r="F37" s="276"/>
      <c r="G37" s="277"/>
      <c r="H37" s="277"/>
      <c r="J37" s="11"/>
      <c r="K37" s="11"/>
      <c r="L37" s="11"/>
      <c r="M37" s="11"/>
    </row>
    <row r="38" spans="1:13" ht="29.25" customHeight="1" x14ac:dyDescent="0.2">
      <c r="A38" s="173"/>
      <c r="B38" s="275"/>
      <c r="C38" s="271"/>
      <c r="D38" s="173"/>
      <c r="E38" s="173"/>
      <c r="F38" s="276"/>
      <c r="G38" s="277"/>
      <c r="H38" s="277"/>
      <c r="J38" s="11"/>
      <c r="K38" s="11"/>
      <c r="L38" s="11"/>
      <c r="M38" s="11"/>
    </row>
    <row r="39" spans="1:13" ht="29.25" customHeight="1" x14ac:dyDescent="0.2">
      <c r="A39" s="173"/>
      <c r="B39" s="275"/>
      <c r="C39" s="271"/>
      <c r="D39" s="173"/>
      <c r="E39" s="173"/>
      <c r="F39" s="276"/>
      <c r="G39" s="277"/>
      <c r="H39" s="277"/>
      <c r="J39" s="11"/>
      <c r="K39" s="11"/>
      <c r="L39" s="11"/>
      <c r="M39" s="11"/>
    </row>
    <row r="40" spans="1:13" ht="29.25" customHeight="1" x14ac:dyDescent="0.2">
      <c r="A40" s="173"/>
      <c r="B40" s="275"/>
      <c r="C40" s="271"/>
      <c r="D40" s="173"/>
      <c r="E40" s="173"/>
      <c r="F40" s="276"/>
      <c r="G40" s="277"/>
      <c r="H40" s="277"/>
      <c r="J40" s="11"/>
      <c r="K40" s="11"/>
      <c r="L40" s="11"/>
      <c r="M40" s="11"/>
    </row>
    <row r="41" spans="1:13" ht="29.25" customHeight="1" x14ac:dyDescent="0.2">
      <c r="A41" s="173"/>
      <c r="B41" s="275"/>
      <c r="C41" s="271"/>
      <c r="D41" s="173"/>
      <c r="E41" s="173"/>
      <c r="F41" s="276"/>
      <c r="G41" s="277"/>
      <c r="H41" s="277"/>
      <c r="J41" s="11"/>
      <c r="K41" s="11"/>
      <c r="L41" s="11"/>
      <c r="M41" s="11"/>
    </row>
    <row r="42" spans="1:13" ht="29.25" customHeight="1" x14ac:dyDescent="0.2">
      <c r="A42" s="173"/>
      <c r="B42" s="275"/>
      <c r="C42" s="271"/>
      <c r="D42" s="173"/>
      <c r="E42" s="173"/>
      <c r="F42" s="276"/>
      <c r="G42" s="277"/>
      <c r="H42" s="277"/>
      <c r="J42" s="11"/>
      <c r="K42" s="11"/>
      <c r="L42" s="11"/>
      <c r="M42" s="11"/>
    </row>
    <row r="43" spans="1:13" ht="29.25" customHeight="1" x14ac:dyDescent="0.2">
      <c r="A43" s="173"/>
      <c r="B43" s="275"/>
      <c r="C43" s="271"/>
      <c r="D43" s="173"/>
      <c r="E43" s="173"/>
      <c r="F43" s="276"/>
      <c r="G43" s="277"/>
      <c r="H43" s="277"/>
      <c r="J43" s="11"/>
      <c r="K43" s="11"/>
      <c r="L43" s="11"/>
      <c r="M43" s="11"/>
    </row>
    <row r="44" spans="1:13" ht="29.25" customHeight="1" x14ac:dyDescent="0.2">
      <c r="A44" s="173"/>
      <c r="B44" s="275"/>
      <c r="C44" s="271"/>
      <c r="D44" s="173"/>
      <c r="E44" s="173"/>
      <c r="F44" s="276"/>
      <c r="G44" s="277"/>
      <c r="H44" s="277"/>
      <c r="J44" s="11"/>
      <c r="K44" s="11"/>
      <c r="L44" s="11"/>
      <c r="M44" s="11"/>
    </row>
    <row r="45" spans="1:13" ht="29.25" customHeight="1" x14ac:dyDescent="0.2">
      <c r="A45" s="173"/>
      <c r="B45" s="275"/>
      <c r="C45" s="271"/>
      <c r="D45" s="173"/>
      <c r="E45" s="173"/>
      <c r="F45" s="276"/>
      <c r="G45" s="277"/>
      <c r="H45" s="277"/>
      <c r="J45" s="11"/>
      <c r="K45" s="11"/>
      <c r="L45" s="11"/>
      <c r="M45" s="11"/>
    </row>
    <row r="46" spans="1:13" x14ac:dyDescent="0.2">
      <c r="A46" s="99" t="s">
        <v>23</v>
      </c>
      <c r="B46" s="159" t="s">
        <v>92</v>
      </c>
      <c r="C46" s="36"/>
      <c r="D46" s="37"/>
      <c r="E46" s="158"/>
      <c r="F46" s="104"/>
      <c r="G46" s="38"/>
      <c r="H46" s="38"/>
      <c r="J46" s="11"/>
      <c r="K46" s="11"/>
      <c r="L46" s="11"/>
      <c r="M46" s="11"/>
    </row>
    <row r="47" spans="1:13" x14ac:dyDescent="0.2">
      <c r="A47" s="99" t="s">
        <v>24</v>
      </c>
      <c r="B47" s="99" t="s">
        <v>70</v>
      </c>
      <c r="C47" s="36"/>
      <c r="D47" s="37"/>
      <c r="E47" s="158"/>
      <c r="F47" s="104"/>
      <c r="G47" s="38"/>
      <c r="H47" s="38"/>
      <c r="J47" s="11"/>
      <c r="K47" s="11"/>
      <c r="L47" s="11"/>
      <c r="M47" s="11"/>
    </row>
    <row r="48" spans="1:13" x14ac:dyDescent="0.2">
      <c r="A48" s="99" t="s">
        <v>96</v>
      </c>
      <c r="B48" s="99" t="s">
        <v>97</v>
      </c>
      <c r="F48" s="105"/>
      <c r="G48" s="6"/>
      <c r="H48" s="6"/>
      <c r="J48" s="11"/>
      <c r="K48" s="11"/>
      <c r="L48" s="11"/>
      <c r="M48" s="11"/>
    </row>
    <row r="49" spans="1:13" x14ac:dyDescent="0.2">
      <c r="A49" s="99"/>
      <c r="B49" s="99"/>
      <c r="F49" s="105"/>
      <c r="G49" s="6"/>
      <c r="H49" s="6"/>
      <c r="J49" s="11"/>
      <c r="K49" s="11"/>
      <c r="L49" s="11"/>
      <c r="M49" s="11"/>
    </row>
    <row r="50" spans="1:13" x14ac:dyDescent="0.2">
      <c r="A50" s="4"/>
      <c r="B50" s="4"/>
      <c r="D50" s="5"/>
      <c r="E50" s="6"/>
      <c r="F50" s="105"/>
      <c r="G50" s="6"/>
      <c r="H50" s="6"/>
      <c r="J50" s="11"/>
      <c r="K50" s="11"/>
      <c r="L50" s="11"/>
      <c r="M50" s="11"/>
    </row>
    <row r="51" spans="1:13" x14ac:dyDescent="0.2">
      <c r="A51" s="7"/>
      <c r="B51" s="8"/>
      <c r="C51" s="44"/>
      <c r="D51" s="10"/>
      <c r="E51" s="10"/>
      <c r="F51" s="20"/>
      <c r="G51" s="10"/>
      <c r="H51" s="29"/>
      <c r="I51" s="11"/>
    </row>
    <row r="52" spans="1:13" x14ac:dyDescent="0.2">
      <c r="D52" s="5"/>
      <c r="E52" s="6"/>
      <c r="F52" s="106"/>
      <c r="G52" s="11"/>
      <c r="H52" s="115"/>
      <c r="I52" s="11"/>
    </row>
    <row r="53" spans="1:13" x14ac:dyDescent="0.2">
      <c r="A53" s="11"/>
      <c r="B53" s="12"/>
      <c r="D53" s="11"/>
      <c r="E53" s="11"/>
      <c r="F53" s="106"/>
      <c r="G53" s="11"/>
      <c r="H53" s="115"/>
      <c r="I53" s="11"/>
    </row>
    <row r="54" spans="1:13" s="11" customFormat="1" x14ac:dyDescent="0.2">
      <c r="B54" s="170"/>
      <c r="D54" s="173"/>
      <c r="E54" s="169"/>
      <c r="F54" s="171"/>
      <c r="H54" s="174"/>
      <c r="I54" s="14"/>
    </row>
    <row r="55" spans="1:13" ht="14.25" x14ac:dyDescent="0.2">
      <c r="A55" s="11"/>
      <c r="B55" s="656"/>
      <c r="C55" s="656"/>
      <c r="D55" s="656"/>
      <c r="E55" s="656"/>
      <c r="F55" s="656"/>
      <c r="G55" s="656"/>
      <c r="H55" s="656"/>
      <c r="I55" s="656"/>
    </row>
    <row r="56" spans="1:13" ht="14.25" x14ac:dyDescent="0.2">
      <c r="A56" s="11"/>
      <c r="B56" s="656"/>
      <c r="C56" s="656"/>
      <c r="D56" s="656"/>
      <c r="E56" s="656"/>
      <c r="F56" s="656"/>
      <c r="G56" s="656"/>
      <c r="H56" s="656"/>
      <c r="I56" s="656"/>
    </row>
    <row r="57" spans="1:13" ht="14.25" x14ac:dyDescent="0.2">
      <c r="A57" s="11"/>
      <c r="B57" s="15"/>
      <c r="C57" s="4"/>
      <c r="D57" s="15"/>
      <c r="E57" s="15"/>
      <c r="F57" s="107"/>
      <c r="G57" s="15"/>
      <c r="H57" s="15"/>
      <c r="I57" s="15"/>
    </row>
    <row r="58" spans="1:13" x14ac:dyDescent="0.2">
      <c r="A58" s="11"/>
      <c r="B58" s="3"/>
      <c r="C58" s="4"/>
      <c r="D58" s="3"/>
      <c r="E58" s="3"/>
      <c r="F58" s="108"/>
      <c r="G58" s="3"/>
      <c r="H58" s="116"/>
      <c r="I58" s="3"/>
    </row>
    <row r="59" spans="1:13" ht="12.75" customHeight="1" x14ac:dyDescent="0.2">
      <c r="A59" s="11"/>
      <c r="B59" s="645"/>
      <c r="C59" s="9"/>
      <c r="D59" s="645"/>
      <c r="E59" s="645"/>
      <c r="F59" s="646"/>
      <c r="G59" s="645"/>
      <c r="H59" s="655"/>
      <c r="I59" s="655"/>
    </row>
    <row r="60" spans="1:13" ht="12.75" customHeight="1" x14ac:dyDescent="0.2">
      <c r="A60" s="11"/>
      <c r="B60" s="645"/>
      <c r="C60" s="12"/>
      <c r="D60" s="645"/>
      <c r="E60" s="645"/>
      <c r="F60" s="646"/>
      <c r="G60" s="645"/>
      <c r="H60" s="16"/>
      <c r="I60" s="16"/>
    </row>
    <row r="61" spans="1:13" x14ac:dyDescent="0.2">
      <c r="A61" s="11"/>
      <c r="B61" s="643"/>
      <c r="C61" s="46"/>
      <c r="D61" s="10"/>
      <c r="E61" s="10"/>
      <c r="F61" s="109"/>
      <c r="G61" s="17"/>
      <c r="H61" s="10"/>
      <c r="I61" s="17"/>
    </row>
    <row r="62" spans="1:13" x14ac:dyDescent="0.2">
      <c r="A62" s="11"/>
      <c r="B62" s="643"/>
      <c r="C62" s="13"/>
      <c r="D62" s="10"/>
      <c r="E62" s="19"/>
      <c r="F62" s="20"/>
      <c r="G62" s="20"/>
      <c r="H62" s="19"/>
      <c r="I62" s="21"/>
    </row>
    <row r="63" spans="1:13" x14ac:dyDescent="0.2">
      <c r="A63" s="11"/>
      <c r="B63" s="643"/>
      <c r="C63" s="18"/>
      <c r="D63" s="10"/>
      <c r="E63" s="10"/>
      <c r="F63" s="109"/>
      <c r="G63" s="17"/>
      <c r="H63" s="10"/>
      <c r="I63" s="17"/>
    </row>
    <row r="64" spans="1:13" x14ac:dyDescent="0.2">
      <c r="A64" s="11"/>
      <c r="B64" s="644"/>
      <c r="C64" s="22"/>
      <c r="D64" s="10"/>
      <c r="E64" s="10"/>
      <c r="F64" s="20"/>
      <c r="G64" s="20"/>
      <c r="H64" s="23"/>
      <c r="I64" s="20"/>
    </row>
    <row r="65" spans="1:9" x14ac:dyDescent="0.2">
      <c r="A65" s="11"/>
      <c r="B65" s="643"/>
      <c r="C65" s="18"/>
      <c r="D65" s="10"/>
      <c r="E65" s="10"/>
      <c r="F65" s="109"/>
      <c r="G65" s="17"/>
      <c r="H65" s="10"/>
      <c r="I65" s="17"/>
    </row>
    <row r="66" spans="1:9" x14ac:dyDescent="0.2">
      <c r="A66" s="11"/>
      <c r="B66" s="644"/>
      <c r="C66" s="24"/>
      <c r="D66" s="10"/>
      <c r="E66" s="10"/>
      <c r="F66" s="109"/>
      <c r="G66" s="17"/>
      <c r="H66" s="10"/>
      <c r="I66" s="17"/>
    </row>
    <row r="67" spans="1:9" ht="86.25" customHeight="1" x14ac:dyDescent="0.2">
      <c r="A67" s="11"/>
      <c r="B67" s="25"/>
      <c r="C67" s="18"/>
      <c r="D67" s="10"/>
      <c r="E67" s="10"/>
      <c r="F67" s="109"/>
      <c r="G67" s="17"/>
      <c r="H67" s="10"/>
      <c r="I67" s="17"/>
    </row>
    <row r="68" spans="1:9" x14ac:dyDescent="0.2">
      <c r="A68" s="11"/>
      <c r="B68" s="17"/>
      <c r="C68" s="24"/>
      <c r="D68" s="10"/>
      <c r="E68" s="19"/>
      <c r="F68" s="20"/>
      <c r="G68" s="10"/>
      <c r="H68" s="20"/>
      <c r="I68" s="10"/>
    </row>
    <row r="69" spans="1:9" x14ac:dyDescent="0.2">
      <c r="A69" s="11"/>
      <c r="B69" s="17"/>
      <c r="C69" s="26"/>
      <c r="D69" s="27"/>
      <c r="E69" s="19"/>
      <c r="F69" s="21"/>
      <c r="G69" s="17"/>
      <c r="H69" s="10"/>
      <c r="I69" s="17"/>
    </row>
    <row r="70" spans="1:9" ht="160.5" customHeight="1" x14ac:dyDescent="0.2">
      <c r="A70" s="11"/>
      <c r="B70" s="17"/>
      <c r="C70" s="28"/>
      <c r="D70" s="27"/>
      <c r="E70" s="19"/>
      <c r="F70" s="20"/>
      <c r="G70" s="10"/>
      <c r="H70" s="20"/>
      <c r="I70" s="10"/>
    </row>
    <row r="71" spans="1:9" x14ac:dyDescent="0.2">
      <c r="A71" s="11"/>
      <c r="B71" s="17"/>
      <c r="C71" s="24"/>
      <c r="D71" s="27"/>
      <c r="E71" s="19"/>
      <c r="F71" s="21"/>
      <c r="G71" s="17"/>
      <c r="H71" s="10"/>
      <c r="I71" s="17"/>
    </row>
    <row r="72" spans="1:9" x14ac:dyDescent="0.2">
      <c r="A72" s="11"/>
      <c r="B72" s="17"/>
      <c r="C72" s="24"/>
      <c r="D72" s="27"/>
      <c r="E72" s="10"/>
      <c r="F72" s="20"/>
      <c r="G72" s="10"/>
      <c r="H72" s="20"/>
      <c r="I72" s="10"/>
    </row>
    <row r="73" spans="1:9" x14ac:dyDescent="0.2">
      <c r="A73" s="11"/>
      <c r="B73" s="17"/>
      <c r="C73" s="24"/>
      <c r="D73" s="27"/>
      <c r="E73" s="10"/>
      <c r="F73" s="21"/>
      <c r="G73" s="17"/>
      <c r="H73" s="10"/>
      <c r="I73" s="20"/>
    </row>
  </sheetData>
  <mergeCells count="21">
    <mergeCell ref="H59:I59"/>
    <mergeCell ref="D59:D60"/>
    <mergeCell ref="E59:E60"/>
    <mergeCell ref="B56:I56"/>
    <mergeCell ref="C7:C8"/>
    <mergeCell ref="D7:D8"/>
    <mergeCell ref="E7:E8"/>
    <mergeCell ref="F7:F8"/>
    <mergeCell ref="B55:I55"/>
    <mergeCell ref="A11:B11"/>
    <mergeCell ref="A4:H4"/>
    <mergeCell ref="A5:H5"/>
    <mergeCell ref="G7:H7"/>
    <mergeCell ref="B7:B8"/>
    <mergeCell ref="A7:A8"/>
    <mergeCell ref="B65:B66"/>
    <mergeCell ref="B61:B62"/>
    <mergeCell ref="B63:B64"/>
    <mergeCell ref="G59:G60"/>
    <mergeCell ref="B59:B60"/>
    <mergeCell ref="F59:F60"/>
  </mergeCells>
  <phoneticPr fontId="10" type="noConversion"/>
  <printOptions horizontalCentered="1"/>
  <pageMargins left="0.23622047244094491" right="0.23622047244094491" top="0.74803149606299213" bottom="0.74803149606299213" header="0.31496062992125984" footer="0.31496062992125984"/>
  <pageSetup scale="6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I200"/>
  <sheetViews>
    <sheetView topLeftCell="A7" zoomScale="160" zoomScaleNormal="160" zoomScaleSheetLayoutView="175" workbookViewId="0">
      <selection activeCell="F100" sqref="F100"/>
    </sheetView>
  </sheetViews>
  <sheetFormatPr baseColWidth="10" defaultRowHeight="12.75" x14ac:dyDescent="0.2"/>
  <cols>
    <col min="1" max="1" width="2.85546875" style="172" customWidth="1"/>
    <col min="2" max="2" width="17.5703125" style="151" customWidth="1"/>
    <col min="3" max="3" width="12.140625" style="151" customWidth="1"/>
    <col min="4" max="4" width="12.85546875" style="151" customWidth="1"/>
    <col min="5" max="7" width="12.7109375" style="151" customWidth="1"/>
    <col min="8" max="8" width="11.7109375" style="151" customWidth="1"/>
    <col min="9" max="16384" width="11.42578125" style="151"/>
  </cols>
  <sheetData>
    <row r="1" spans="1:9" x14ac:dyDescent="0.2">
      <c r="A1" s="172">
        <f>8178+3398</f>
        <v>11576</v>
      </c>
      <c r="B1" s="661" t="s">
        <v>188</v>
      </c>
      <c r="C1" s="661"/>
      <c r="D1" s="661"/>
      <c r="E1" s="661"/>
      <c r="F1" s="661"/>
      <c r="G1" s="661"/>
      <c r="H1" s="661"/>
    </row>
    <row r="2" spans="1:9" x14ac:dyDescent="0.2">
      <c r="B2" s="476"/>
      <c r="C2" s="795"/>
      <c r="D2" s="795"/>
      <c r="E2" s="481"/>
      <c r="F2" s="481"/>
      <c r="G2" s="481"/>
      <c r="H2" s="481"/>
    </row>
    <row r="3" spans="1:9" ht="31.5" customHeight="1" x14ac:dyDescent="0.2">
      <c r="A3" s="354">
        <v>1</v>
      </c>
      <c r="B3" s="804" t="s">
        <v>282</v>
      </c>
      <c r="C3" s="804"/>
      <c r="D3" s="804"/>
      <c r="E3" s="804"/>
      <c r="F3" s="264"/>
    </row>
    <row r="4" spans="1:9" x14ac:dyDescent="0.2">
      <c r="A4" s="354"/>
      <c r="B4" s="768" t="s">
        <v>30</v>
      </c>
      <c r="C4" s="768" t="s">
        <v>31</v>
      </c>
      <c r="D4" s="768" t="s">
        <v>17</v>
      </c>
      <c r="E4" s="768"/>
      <c r="F4" s="481"/>
    </row>
    <row r="5" spans="1:9" x14ac:dyDescent="0.2">
      <c r="A5" s="354"/>
      <c r="B5" s="768"/>
      <c r="C5" s="768"/>
      <c r="D5" s="475" t="s">
        <v>32</v>
      </c>
      <c r="E5" s="475" t="s">
        <v>33</v>
      </c>
      <c r="F5" s="481"/>
    </row>
    <row r="6" spans="1:9" x14ac:dyDescent="0.2">
      <c r="A6" s="354"/>
      <c r="B6" s="190" t="s">
        <v>61</v>
      </c>
      <c r="C6" s="183">
        <v>7</v>
      </c>
      <c r="D6" s="184">
        <v>872</v>
      </c>
      <c r="E6" s="191">
        <f>+D6*C6</f>
        <v>6104</v>
      </c>
      <c r="F6" s="481"/>
    </row>
    <row r="7" spans="1:9" x14ac:dyDescent="0.2">
      <c r="A7" s="354"/>
      <c r="B7" s="190" t="s">
        <v>283</v>
      </c>
      <c r="C7" s="319">
        <v>7</v>
      </c>
      <c r="D7" s="418">
        <v>672</v>
      </c>
      <c r="E7" s="191">
        <f t="shared" ref="E7:E9" si="0">+D7*C7</f>
        <v>4704</v>
      </c>
      <c r="F7" s="481"/>
    </row>
    <row r="8" spans="1:9" x14ac:dyDescent="0.2">
      <c r="A8" s="354"/>
      <c r="B8" s="190" t="s">
        <v>26</v>
      </c>
      <c r="C8" s="319">
        <v>29</v>
      </c>
      <c r="D8" s="418">
        <v>672</v>
      </c>
      <c r="E8" s="191">
        <f t="shared" si="0"/>
        <v>19488</v>
      </c>
      <c r="F8" s="481"/>
    </row>
    <row r="9" spans="1:9" x14ac:dyDescent="0.2">
      <c r="A9" s="354"/>
      <c r="B9" s="190" t="s">
        <v>29</v>
      </c>
      <c r="C9" s="319">
        <v>13</v>
      </c>
      <c r="D9" s="418">
        <v>672</v>
      </c>
      <c r="E9" s="191">
        <f t="shared" si="0"/>
        <v>8736</v>
      </c>
      <c r="F9" s="480"/>
    </row>
    <row r="10" spans="1:9" x14ac:dyDescent="0.2">
      <c r="A10" s="354"/>
      <c r="B10" s="455" t="s">
        <v>34</v>
      </c>
      <c r="C10" s="456">
        <f>SUM(C6:C9)</f>
        <v>56</v>
      </c>
      <c r="D10" s="457"/>
      <c r="E10" s="469">
        <f>SUM(E6:E9)</f>
        <v>39032</v>
      </c>
      <c r="F10" s="480"/>
    </row>
    <row r="11" spans="1:9" x14ac:dyDescent="0.2">
      <c r="A11" s="354"/>
      <c r="B11" s="481"/>
      <c r="C11" s="480"/>
      <c r="D11" s="480"/>
      <c r="E11" s="481"/>
      <c r="F11" s="481"/>
      <c r="G11" s="481"/>
      <c r="H11" s="481"/>
    </row>
    <row r="12" spans="1:9" x14ac:dyDescent="0.2">
      <c r="A12" s="354"/>
      <c r="B12" s="773" t="s">
        <v>16</v>
      </c>
      <c r="C12" s="774"/>
      <c r="D12" s="774"/>
      <c r="E12" s="796"/>
      <c r="F12" s="765" t="s">
        <v>181</v>
      </c>
      <c r="G12" s="765"/>
      <c r="H12" s="766"/>
      <c r="I12" s="151" t="s">
        <v>177</v>
      </c>
    </row>
    <row r="13" spans="1:9" x14ac:dyDescent="0.2">
      <c r="A13" s="354"/>
      <c r="B13" s="786" t="s">
        <v>12</v>
      </c>
      <c r="C13" s="787"/>
      <c r="D13" s="788" t="s">
        <v>13</v>
      </c>
      <c r="E13" s="788"/>
      <c r="F13" s="347"/>
      <c r="G13" s="341"/>
      <c r="H13" s="343"/>
    </row>
    <row r="14" spans="1:9" x14ac:dyDescent="0.2">
      <c r="A14" s="354"/>
      <c r="B14" s="340">
        <v>1</v>
      </c>
      <c r="C14" s="480">
        <f>+B14/B15</f>
        <v>1.6666666666666666E-2</v>
      </c>
      <c r="D14" s="344">
        <v>1</v>
      </c>
      <c r="E14" s="480">
        <f>+D14/D15</f>
        <v>1.7857142857142856E-2</v>
      </c>
      <c r="F14" s="342">
        <f>+E14</f>
        <v>1.7857142857142856E-2</v>
      </c>
      <c r="G14" s="344">
        <v>100</v>
      </c>
      <c r="H14" s="343">
        <f>+F14*G14/G15</f>
        <v>107.14285714285714</v>
      </c>
    </row>
    <row r="15" spans="1:9" x14ac:dyDescent="0.2">
      <c r="A15" s="354"/>
      <c r="B15" s="340">
        <v>60</v>
      </c>
      <c r="C15" s="337"/>
      <c r="D15" s="344">
        <v>56</v>
      </c>
      <c r="E15" s="337"/>
      <c r="F15" s="340"/>
      <c r="G15" s="344">
        <f>+C14</f>
        <v>1.6666666666666666E-2</v>
      </c>
      <c r="H15" s="346"/>
    </row>
    <row r="16" spans="1:9" x14ac:dyDescent="0.2">
      <c r="A16" s="354"/>
      <c r="B16" s="345"/>
      <c r="C16" s="480"/>
      <c r="D16" s="345"/>
      <c r="E16" s="480"/>
      <c r="F16" s="341"/>
      <c r="G16" s="345"/>
      <c r="H16" s="345"/>
    </row>
    <row r="17" spans="1:9" x14ac:dyDescent="0.2">
      <c r="A17" s="354"/>
      <c r="B17" s="345"/>
      <c r="C17" s="480"/>
      <c r="D17" s="480"/>
      <c r="E17" s="345"/>
      <c r="F17" s="345"/>
      <c r="G17" s="345"/>
      <c r="H17" s="345"/>
    </row>
    <row r="18" spans="1:9" x14ac:dyDescent="0.2">
      <c r="A18" s="354"/>
      <c r="B18" s="761" t="s">
        <v>17</v>
      </c>
      <c r="C18" s="762"/>
      <c r="D18" s="762"/>
      <c r="E18" s="763"/>
      <c r="F18" s="765" t="s">
        <v>182</v>
      </c>
      <c r="G18" s="765"/>
      <c r="H18" s="766"/>
      <c r="I18" s="151" t="s">
        <v>177</v>
      </c>
    </row>
    <row r="19" spans="1:9" x14ac:dyDescent="0.2">
      <c r="A19" s="354"/>
      <c r="B19" s="775" t="s">
        <v>12</v>
      </c>
      <c r="C19" s="776"/>
      <c r="D19" s="777" t="s">
        <v>13</v>
      </c>
      <c r="E19" s="778"/>
      <c r="F19" s="347"/>
      <c r="G19" s="341"/>
      <c r="H19" s="343"/>
    </row>
    <row r="20" spans="1:9" x14ac:dyDescent="0.2">
      <c r="A20" s="354"/>
      <c r="B20" s="340">
        <v>1</v>
      </c>
      <c r="C20" s="326">
        <f>+B20/B21</f>
        <v>2.4984384759525296E-5</v>
      </c>
      <c r="D20" s="344">
        <v>1</v>
      </c>
      <c r="E20" s="480">
        <f>+D20/D21</f>
        <v>2.5620004099200656E-5</v>
      </c>
      <c r="F20" s="360">
        <f>+E20/C20</f>
        <v>1.0254406640705063</v>
      </c>
      <c r="G20" s="341">
        <v>100</v>
      </c>
      <c r="H20" s="468">
        <f>+F20*G20</f>
        <v>102.54406640705062</v>
      </c>
    </row>
    <row r="21" spans="1:9" x14ac:dyDescent="0.2">
      <c r="A21" s="354"/>
      <c r="B21" s="386">
        <v>40025</v>
      </c>
      <c r="C21" s="337"/>
      <c r="D21" s="387">
        <f>+E10</f>
        <v>39032</v>
      </c>
      <c r="E21" s="337"/>
      <c r="F21" s="338"/>
      <c r="G21" s="344"/>
      <c r="H21" s="346"/>
    </row>
    <row r="22" spans="1:9" x14ac:dyDescent="0.2">
      <c r="A22" s="354"/>
      <c r="B22" s="352"/>
      <c r="C22" s="480"/>
      <c r="D22" s="352"/>
      <c r="E22" s="480"/>
      <c r="F22" s="480"/>
      <c r="G22" s="345"/>
      <c r="H22" s="345"/>
    </row>
    <row r="23" spans="1:9" ht="54" customHeight="1" x14ac:dyDescent="0.2">
      <c r="A23" s="354"/>
      <c r="B23" s="804" t="s">
        <v>284</v>
      </c>
      <c r="C23" s="804"/>
      <c r="D23" s="804"/>
      <c r="E23" s="804"/>
      <c r="F23" s="483"/>
    </row>
    <row r="24" spans="1:9" x14ac:dyDescent="0.2">
      <c r="A24" s="354">
        <v>2</v>
      </c>
      <c r="B24" s="768" t="s">
        <v>30</v>
      </c>
      <c r="C24" s="768" t="s">
        <v>31</v>
      </c>
      <c r="D24" s="768" t="s">
        <v>17</v>
      </c>
      <c r="E24" s="768"/>
      <c r="F24" s="196"/>
    </row>
    <row r="25" spans="1:9" x14ac:dyDescent="0.2">
      <c r="A25" s="354"/>
      <c r="B25" s="768"/>
      <c r="C25" s="768"/>
      <c r="D25" s="475" t="s">
        <v>32</v>
      </c>
      <c r="E25" s="475" t="s">
        <v>33</v>
      </c>
      <c r="F25" s="196"/>
    </row>
    <row r="26" spans="1:9" x14ac:dyDescent="0.2">
      <c r="A26" s="354"/>
      <c r="B26" s="190" t="s">
        <v>61</v>
      </c>
      <c r="C26" s="183">
        <v>1</v>
      </c>
      <c r="D26" s="184">
        <v>872</v>
      </c>
      <c r="E26" s="191">
        <f>+D26*C26</f>
        <v>872</v>
      </c>
      <c r="F26" s="196"/>
    </row>
    <row r="27" spans="1:9" x14ac:dyDescent="0.2">
      <c r="A27" s="354"/>
      <c r="B27" s="190" t="s">
        <v>283</v>
      </c>
      <c r="C27" s="319">
        <v>1</v>
      </c>
      <c r="D27" s="418">
        <v>672</v>
      </c>
      <c r="E27" s="191">
        <f t="shared" ref="E27" si="1">+D27*C27</f>
        <v>672</v>
      </c>
      <c r="F27" s="196"/>
    </row>
    <row r="28" spans="1:9" x14ac:dyDescent="0.2">
      <c r="A28" s="354"/>
      <c r="B28" s="190" t="s">
        <v>27</v>
      </c>
      <c r="C28" s="319">
        <v>37</v>
      </c>
      <c r="D28" s="418">
        <v>672</v>
      </c>
      <c r="E28" s="191">
        <f>37*672</f>
        <v>24864</v>
      </c>
      <c r="F28" s="196"/>
    </row>
    <row r="29" spans="1:9" x14ac:dyDescent="0.2">
      <c r="A29" s="354"/>
      <c r="B29" s="190" t="s">
        <v>29</v>
      </c>
      <c r="C29" s="319">
        <v>20.5</v>
      </c>
      <c r="D29" s="418">
        <v>672</v>
      </c>
      <c r="E29" s="191">
        <f>21*672</f>
        <v>14112</v>
      </c>
      <c r="F29" s="196"/>
    </row>
    <row r="30" spans="1:9" x14ac:dyDescent="0.2">
      <c r="A30" s="354"/>
      <c r="B30" s="455" t="s">
        <v>34</v>
      </c>
      <c r="C30" s="456">
        <f>SUM(C26:C29)</f>
        <v>59.5</v>
      </c>
      <c r="D30" s="457"/>
      <c r="E30" s="469">
        <f>SUM(E26:E29)</f>
        <v>40520</v>
      </c>
      <c r="F30" s="196"/>
    </row>
    <row r="31" spans="1:9" x14ac:dyDescent="0.2">
      <c r="A31" s="354"/>
      <c r="B31" s="483"/>
      <c r="C31" s="772"/>
      <c r="D31" s="772"/>
      <c r="E31" s="481"/>
      <c r="F31" s="481"/>
      <c r="G31" s="481"/>
      <c r="H31" s="481"/>
    </row>
    <row r="32" spans="1:9" x14ac:dyDescent="0.2">
      <c r="A32" s="354"/>
      <c r="B32" s="773" t="s">
        <v>16</v>
      </c>
      <c r="C32" s="774"/>
      <c r="D32" s="774"/>
      <c r="E32" s="774"/>
      <c r="F32" s="764" t="s">
        <v>181</v>
      </c>
      <c r="G32" s="765"/>
      <c r="H32" s="766"/>
      <c r="I32" s="151" t="s">
        <v>177</v>
      </c>
    </row>
    <row r="33" spans="1:9" x14ac:dyDescent="0.2">
      <c r="A33" s="354"/>
      <c r="B33" s="775" t="s">
        <v>12</v>
      </c>
      <c r="C33" s="776"/>
      <c r="D33" s="777" t="s">
        <v>13</v>
      </c>
      <c r="E33" s="778"/>
      <c r="F33" s="342"/>
      <c r="G33" s="341" t="s">
        <v>14</v>
      </c>
      <c r="H33" s="343"/>
    </row>
    <row r="34" spans="1:9" x14ac:dyDescent="0.2">
      <c r="A34" s="354"/>
      <c r="B34" s="340">
        <v>1</v>
      </c>
      <c r="C34" s="480">
        <f>+B34/B35</f>
        <v>1.6666666666666666E-2</v>
      </c>
      <c r="D34" s="344">
        <v>1</v>
      </c>
      <c r="E34" s="480">
        <f>+D34/D35</f>
        <v>1.6666666666666666E-2</v>
      </c>
      <c r="F34" s="342">
        <f>+E34</f>
        <v>1.6666666666666666E-2</v>
      </c>
      <c r="G34" s="344">
        <v>100</v>
      </c>
      <c r="H34" s="343">
        <f>+F34*G34/G35</f>
        <v>100</v>
      </c>
    </row>
    <row r="35" spans="1:9" x14ac:dyDescent="0.2">
      <c r="A35" s="354"/>
      <c r="B35" s="340">
        <v>60</v>
      </c>
      <c r="C35" s="337"/>
      <c r="D35" s="344">
        <v>60</v>
      </c>
      <c r="E35" s="337"/>
      <c r="F35" s="340"/>
      <c r="G35" s="344">
        <f>+C34</f>
        <v>1.6666666666666666E-2</v>
      </c>
      <c r="H35" s="346"/>
    </row>
    <row r="36" spans="1:9" x14ac:dyDescent="0.2">
      <c r="A36" s="354"/>
      <c r="B36" s="345"/>
      <c r="C36" s="480"/>
      <c r="D36" s="345"/>
      <c r="E36" s="480"/>
      <c r="F36" s="341"/>
      <c r="G36" s="341"/>
      <c r="H36" s="341"/>
    </row>
    <row r="37" spans="1:9" x14ac:dyDescent="0.2">
      <c r="A37" s="354"/>
      <c r="B37" s="345"/>
      <c r="C37" s="480"/>
      <c r="D37" s="480"/>
      <c r="E37" s="345"/>
      <c r="F37" s="345"/>
      <c r="G37" s="345"/>
      <c r="H37" s="345"/>
    </row>
    <row r="38" spans="1:9" x14ac:dyDescent="0.2">
      <c r="A38" s="354"/>
      <c r="B38" s="761" t="s">
        <v>17</v>
      </c>
      <c r="C38" s="762"/>
      <c r="D38" s="762"/>
      <c r="E38" s="763"/>
      <c r="F38" s="764" t="s">
        <v>182</v>
      </c>
      <c r="G38" s="765"/>
      <c r="H38" s="766"/>
      <c r="I38" s="151" t="s">
        <v>177</v>
      </c>
    </row>
    <row r="39" spans="1:9" x14ac:dyDescent="0.2">
      <c r="A39" s="354"/>
      <c r="B39" s="478" t="s">
        <v>12</v>
      </c>
      <c r="C39" s="480"/>
      <c r="D39" s="480" t="s">
        <v>13</v>
      </c>
      <c r="E39" s="341"/>
      <c r="F39" s="341"/>
      <c r="G39" s="341" t="s">
        <v>14</v>
      </c>
      <c r="H39" s="343"/>
    </row>
    <row r="40" spans="1:9" x14ac:dyDescent="0.2">
      <c r="A40" s="354"/>
      <c r="B40" s="340">
        <v>1</v>
      </c>
      <c r="C40" s="326">
        <f>+B40/B41</f>
        <v>2.4984384759525296E-5</v>
      </c>
      <c r="D40" s="344">
        <v>1</v>
      </c>
      <c r="E40" s="330">
        <f>+D40/D41</f>
        <v>2.4679170779861795E-5</v>
      </c>
      <c r="F40" s="328">
        <f>+E40/C40</f>
        <v>0.98778381046396835</v>
      </c>
      <c r="G40" s="341">
        <v>100</v>
      </c>
      <c r="H40" s="385">
        <f>+F40*G40</f>
        <v>98.778381046396831</v>
      </c>
    </row>
    <row r="41" spans="1:9" x14ac:dyDescent="0.2">
      <c r="A41" s="354"/>
      <c r="B41" s="386">
        <v>40025</v>
      </c>
      <c r="C41" s="337"/>
      <c r="D41" s="387">
        <f>+E30</f>
        <v>40520</v>
      </c>
      <c r="E41" s="337"/>
      <c r="F41" s="339"/>
      <c r="G41" s="344"/>
      <c r="H41" s="346"/>
    </row>
    <row r="42" spans="1:9" x14ac:dyDescent="0.2">
      <c r="A42" s="354"/>
      <c r="B42" s="352"/>
      <c r="C42" s="480"/>
      <c r="D42" s="352"/>
      <c r="E42" s="480"/>
      <c r="F42" s="329"/>
      <c r="G42" s="345"/>
      <c r="H42" s="345"/>
    </row>
    <row r="43" spans="1:9" ht="33.75" customHeight="1" x14ac:dyDescent="0.2">
      <c r="A43" s="354"/>
      <c r="B43" s="804" t="s">
        <v>209</v>
      </c>
      <c r="C43" s="804"/>
      <c r="D43" s="804"/>
      <c r="E43" s="804"/>
      <c r="F43" s="329"/>
      <c r="G43" s="345"/>
      <c r="H43" s="345"/>
    </row>
    <row r="44" spans="1:9" x14ac:dyDescent="0.2">
      <c r="A44" s="354"/>
      <c r="B44" s="768" t="s">
        <v>30</v>
      </c>
      <c r="C44" s="768" t="s">
        <v>31</v>
      </c>
      <c r="D44" s="768" t="s">
        <v>17</v>
      </c>
      <c r="E44" s="768"/>
      <c r="F44" s="329"/>
      <c r="G44" s="345"/>
      <c r="H44" s="345"/>
    </row>
    <row r="45" spans="1:9" x14ac:dyDescent="0.2">
      <c r="A45" s="354"/>
      <c r="B45" s="768"/>
      <c r="C45" s="768"/>
      <c r="D45" s="475" t="s">
        <v>32</v>
      </c>
      <c r="E45" s="475" t="s">
        <v>33</v>
      </c>
      <c r="F45" s="329"/>
      <c r="G45" s="345"/>
      <c r="H45" s="345"/>
    </row>
    <row r="46" spans="1:9" x14ac:dyDescent="0.2">
      <c r="A46" s="354"/>
      <c r="B46" s="190" t="s">
        <v>61</v>
      </c>
      <c r="C46" s="183">
        <v>15</v>
      </c>
      <c r="D46" s="184">
        <v>872</v>
      </c>
      <c r="E46" s="191">
        <f>872*15</f>
        <v>13080</v>
      </c>
      <c r="F46" s="329"/>
      <c r="G46" s="345"/>
      <c r="H46" s="345"/>
    </row>
    <row r="47" spans="1:9" x14ac:dyDescent="0.2">
      <c r="A47" s="354"/>
      <c r="B47" s="190" t="s">
        <v>237</v>
      </c>
      <c r="C47" s="319">
        <v>24</v>
      </c>
      <c r="D47" s="418">
        <v>672</v>
      </c>
      <c r="E47" s="191">
        <f>672*24</f>
        <v>16128</v>
      </c>
      <c r="F47" s="329"/>
      <c r="G47" s="345"/>
      <c r="H47" s="345"/>
    </row>
    <row r="48" spans="1:9" x14ac:dyDescent="0.2">
      <c r="A48" s="354"/>
      <c r="B48" s="361" t="s">
        <v>34</v>
      </c>
      <c r="C48" s="456">
        <f>SUM(C46:C47)</f>
        <v>39</v>
      </c>
      <c r="D48" s="486"/>
      <c r="E48" s="458">
        <f>SUM(E46:E47)</f>
        <v>29208</v>
      </c>
      <c r="F48" s="329"/>
      <c r="G48" s="345"/>
      <c r="H48" s="345"/>
    </row>
    <row r="49" spans="1:9" x14ac:dyDescent="0.2">
      <c r="A49" s="354"/>
      <c r="B49" s="483"/>
      <c r="C49" s="483"/>
      <c r="D49" s="483"/>
      <c r="E49" s="481"/>
      <c r="F49" s="481"/>
      <c r="G49" s="481"/>
      <c r="H49" s="481"/>
    </row>
    <row r="50" spans="1:9" x14ac:dyDescent="0.2">
      <c r="A50" s="354"/>
      <c r="B50" s="797" t="s">
        <v>16</v>
      </c>
      <c r="C50" s="797"/>
      <c r="D50" s="797"/>
      <c r="E50" s="797"/>
      <c r="F50" s="764" t="s">
        <v>181</v>
      </c>
      <c r="G50" s="765"/>
      <c r="H50" s="766"/>
      <c r="I50" s="151" t="s">
        <v>177</v>
      </c>
    </row>
    <row r="51" spans="1:9" x14ac:dyDescent="0.2">
      <c r="A51" s="354"/>
      <c r="B51" s="786" t="s">
        <v>12</v>
      </c>
      <c r="C51" s="787"/>
      <c r="D51" s="788" t="s">
        <v>13</v>
      </c>
      <c r="E51" s="789"/>
      <c r="F51" s="347"/>
      <c r="G51" s="484" t="s">
        <v>14</v>
      </c>
      <c r="H51" s="495"/>
    </row>
    <row r="52" spans="1:9" x14ac:dyDescent="0.2">
      <c r="A52" s="354"/>
      <c r="B52" s="340">
        <v>1</v>
      </c>
      <c r="C52" s="480">
        <f>+B52/B53</f>
        <v>1.6666666666666666E-2</v>
      </c>
      <c r="D52" s="344">
        <v>1</v>
      </c>
      <c r="E52" s="482">
        <f>+D52/D53</f>
        <v>2.564102564102564E-2</v>
      </c>
      <c r="F52" s="342">
        <f>+E52</f>
        <v>2.564102564102564E-2</v>
      </c>
      <c r="G52" s="344">
        <v>100</v>
      </c>
      <c r="H52" s="343">
        <f>+F52*G52/0.016666</f>
        <v>153.85230793847137</v>
      </c>
    </row>
    <row r="53" spans="1:9" x14ac:dyDescent="0.2">
      <c r="A53" s="354"/>
      <c r="B53" s="340">
        <v>60</v>
      </c>
      <c r="C53" s="337"/>
      <c r="D53" s="350">
        <v>39</v>
      </c>
      <c r="E53" s="420"/>
      <c r="F53" s="340"/>
      <c r="G53" s="344">
        <f>+C52</f>
        <v>1.6666666666666666E-2</v>
      </c>
      <c r="H53" s="346"/>
    </row>
    <row r="54" spans="1:9" x14ac:dyDescent="0.2">
      <c r="A54" s="354"/>
      <c r="B54" s="341"/>
      <c r="C54" s="480"/>
      <c r="D54" s="341"/>
      <c r="E54" s="480"/>
      <c r="F54" s="341"/>
      <c r="G54" s="341"/>
      <c r="H54" s="341"/>
    </row>
    <row r="55" spans="1:9" x14ac:dyDescent="0.2">
      <c r="A55" s="354"/>
      <c r="B55" s="341"/>
      <c r="C55" s="480"/>
      <c r="D55" s="480"/>
      <c r="E55" s="341"/>
      <c r="F55" s="341"/>
      <c r="G55" s="341"/>
      <c r="H55" s="341"/>
    </row>
    <row r="56" spans="1:9" x14ac:dyDescent="0.2">
      <c r="A56" s="354"/>
      <c r="B56" s="761" t="s">
        <v>17</v>
      </c>
      <c r="C56" s="762"/>
      <c r="D56" s="762"/>
      <c r="E56" s="762"/>
      <c r="F56" s="764" t="s">
        <v>182</v>
      </c>
      <c r="G56" s="765"/>
      <c r="H56" s="766"/>
      <c r="I56" s="151" t="s">
        <v>177</v>
      </c>
    </row>
    <row r="57" spans="1:9" x14ac:dyDescent="0.2">
      <c r="A57" s="354"/>
      <c r="B57" s="342" t="s">
        <v>12</v>
      </c>
      <c r="C57" s="480"/>
      <c r="D57" s="480" t="s">
        <v>13</v>
      </c>
      <c r="E57" s="341"/>
      <c r="F57" s="342"/>
      <c r="G57" s="479" t="s">
        <v>14</v>
      </c>
      <c r="H57" s="343"/>
    </row>
    <row r="58" spans="1:9" x14ac:dyDescent="0.2">
      <c r="A58" s="354"/>
      <c r="B58" s="340">
        <v>1</v>
      </c>
      <c r="C58" s="326">
        <f>+B58/B59</f>
        <v>2.6737967914438501E-5</v>
      </c>
      <c r="D58" s="344">
        <v>1</v>
      </c>
      <c r="E58" s="480">
        <f>1/D59</f>
        <v>3.4237195288961927E-5</v>
      </c>
      <c r="F58" s="358">
        <f>+E58/C58</f>
        <v>1.2804711038071761</v>
      </c>
      <c r="G58" s="341">
        <v>100</v>
      </c>
      <c r="H58" s="467">
        <f>+F58*G58</f>
        <v>128.04711038071761</v>
      </c>
    </row>
    <row r="59" spans="1:9" x14ac:dyDescent="0.2">
      <c r="A59" s="354"/>
      <c r="B59" s="349">
        <v>37400</v>
      </c>
      <c r="C59" s="337"/>
      <c r="D59" s="350">
        <f>+E48</f>
        <v>29208</v>
      </c>
      <c r="E59" s="337"/>
      <c r="F59" s="359"/>
      <c r="G59" s="350"/>
      <c r="H59" s="346"/>
    </row>
    <row r="60" spans="1:9" x14ac:dyDescent="0.2">
      <c r="A60" s="354"/>
      <c r="B60" s="373"/>
      <c r="C60" s="480"/>
      <c r="D60" s="373"/>
      <c r="E60" s="480"/>
      <c r="F60" s="329"/>
      <c r="G60" s="373"/>
      <c r="H60" s="341"/>
    </row>
    <row r="61" spans="1:9" x14ac:dyDescent="0.2">
      <c r="A61" s="354"/>
      <c r="B61" s="483"/>
      <c r="C61" s="483"/>
      <c r="D61" s="483"/>
      <c r="E61" s="481"/>
      <c r="F61" s="481"/>
      <c r="G61" s="481"/>
      <c r="H61" s="481"/>
    </row>
    <row r="62" spans="1:9" ht="48" customHeight="1" x14ac:dyDescent="0.2">
      <c r="A62" s="354"/>
      <c r="B62" s="804" t="s">
        <v>285</v>
      </c>
      <c r="C62" s="804"/>
      <c r="D62" s="804"/>
      <c r="E62" s="804"/>
      <c r="F62" s="192"/>
    </row>
    <row r="63" spans="1:9" x14ac:dyDescent="0.2">
      <c r="A63" s="354"/>
      <c r="B63" s="768" t="s">
        <v>30</v>
      </c>
      <c r="C63" s="768" t="s">
        <v>31</v>
      </c>
      <c r="D63" s="768" t="s">
        <v>17</v>
      </c>
      <c r="E63" s="768"/>
      <c r="F63" s="193"/>
    </row>
    <row r="64" spans="1:9" x14ac:dyDescent="0.2">
      <c r="A64" s="354"/>
      <c r="B64" s="768"/>
      <c r="C64" s="768"/>
      <c r="D64" s="475" t="s">
        <v>32</v>
      </c>
      <c r="E64" s="475" t="s">
        <v>33</v>
      </c>
      <c r="F64" s="193"/>
    </row>
    <row r="65" spans="1:8" x14ac:dyDescent="0.2">
      <c r="A65" s="354"/>
      <c r="B65" s="190" t="s">
        <v>61</v>
      </c>
      <c r="C65" s="183">
        <v>3</v>
      </c>
      <c r="D65" s="184">
        <v>872</v>
      </c>
      <c r="E65" s="191">
        <f>872*3</f>
        <v>2616</v>
      </c>
      <c r="F65" s="193"/>
    </row>
    <row r="66" spans="1:8" x14ac:dyDescent="0.2">
      <c r="A66" s="354"/>
      <c r="B66" s="190" t="s">
        <v>237</v>
      </c>
      <c r="C66" s="319">
        <v>17</v>
      </c>
      <c r="D66" s="418">
        <v>672</v>
      </c>
      <c r="E66" s="191">
        <f>672*17</f>
        <v>11424</v>
      </c>
      <c r="F66" s="193"/>
    </row>
    <row r="67" spans="1:8" x14ac:dyDescent="0.2">
      <c r="A67" s="354"/>
      <c r="B67" s="455" t="s">
        <v>34</v>
      </c>
      <c r="C67" s="319">
        <f>SUM(C65:C66)</f>
        <v>20</v>
      </c>
      <c r="D67" s="184"/>
      <c r="E67" s="191">
        <f>SUM(E65:E66)</f>
        <v>14040</v>
      </c>
      <c r="F67" s="193"/>
    </row>
    <row r="68" spans="1:8" x14ac:dyDescent="0.2">
      <c r="A68" s="354"/>
      <c r="B68" s="481"/>
      <c r="C68" s="779"/>
      <c r="D68" s="779"/>
      <c r="E68" s="481"/>
      <c r="F68" s="481"/>
      <c r="G68" s="481"/>
      <c r="H68" s="481"/>
    </row>
    <row r="69" spans="1:8" x14ac:dyDescent="0.2">
      <c r="A69" s="354"/>
      <c r="B69" s="783" t="s">
        <v>16</v>
      </c>
      <c r="C69" s="784"/>
      <c r="D69" s="784"/>
      <c r="E69" s="785"/>
      <c r="F69" s="765" t="s">
        <v>181</v>
      </c>
      <c r="G69" s="765"/>
      <c r="H69" s="766"/>
    </row>
    <row r="70" spans="1:8" x14ac:dyDescent="0.2">
      <c r="A70" s="354"/>
      <c r="B70" s="375" t="s">
        <v>12</v>
      </c>
      <c r="C70" s="332"/>
      <c r="D70" s="332" t="s">
        <v>13</v>
      </c>
      <c r="E70" s="334"/>
      <c r="F70" s="355"/>
      <c r="G70" s="376" t="s">
        <v>14</v>
      </c>
      <c r="H70" s="377"/>
    </row>
    <row r="71" spans="1:8" x14ac:dyDescent="0.2">
      <c r="A71" s="354"/>
      <c r="B71" s="378">
        <v>1</v>
      </c>
      <c r="C71" s="335">
        <f>+B71/B72</f>
        <v>0.05</v>
      </c>
      <c r="D71" s="333">
        <v>1</v>
      </c>
      <c r="E71" s="335">
        <f>+D71/D72</f>
        <v>0.05</v>
      </c>
      <c r="F71" s="357">
        <f>+E71</f>
        <v>0.05</v>
      </c>
      <c r="G71" s="333">
        <v>100</v>
      </c>
      <c r="H71" s="381">
        <f>+F71*G71/G72</f>
        <v>100</v>
      </c>
    </row>
    <row r="72" spans="1:8" x14ac:dyDescent="0.2">
      <c r="A72" s="354"/>
      <c r="B72" s="378">
        <v>20</v>
      </c>
      <c r="C72" s="379"/>
      <c r="D72" s="333">
        <v>20</v>
      </c>
      <c r="E72" s="379"/>
      <c r="F72" s="378"/>
      <c r="G72" s="333">
        <f>+C71</f>
        <v>0.05</v>
      </c>
      <c r="H72" s="380"/>
    </row>
    <row r="73" spans="1:8" x14ac:dyDescent="0.2">
      <c r="A73" s="354"/>
      <c r="B73" s="331"/>
      <c r="C73" s="332"/>
      <c r="D73" s="331"/>
      <c r="E73" s="332"/>
      <c r="F73" s="334"/>
      <c r="G73" s="331"/>
      <c r="H73" s="331"/>
    </row>
    <row r="74" spans="1:8" x14ac:dyDescent="0.2">
      <c r="A74" s="354"/>
      <c r="B74" s="331"/>
      <c r="C74" s="332"/>
      <c r="D74" s="332"/>
      <c r="E74" s="331"/>
      <c r="F74" s="331"/>
      <c r="G74" s="331"/>
      <c r="H74" s="331"/>
    </row>
    <row r="75" spans="1:8" x14ac:dyDescent="0.2">
      <c r="A75" s="354"/>
      <c r="B75" s="780" t="s">
        <v>17</v>
      </c>
      <c r="C75" s="781"/>
      <c r="D75" s="781"/>
      <c r="E75" s="782"/>
      <c r="F75" s="764" t="s">
        <v>182</v>
      </c>
      <c r="G75" s="765"/>
      <c r="H75" s="766"/>
    </row>
    <row r="76" spans="1:8" x14ac:dyDescent="0.2">
      <c r="A76" s="354"/>
      <c r="B76" s="375" t="s">
        <v>12</v>
      </c>
      <c r="C76" s="332"/>
      <c r="D76" s="332" t="s">
        <v>13</v>
      </c>
      <c r="E76" s="334"/>
      <c r="F76" s="355"/>
      <c r="G76" s="334"/>
      <c r="H76" s="377"/>
    </row>
    <row r="77" spans="1:8" x14ac:dyDescent="0.2">
      <c r="A77" s="354"/>
      <c r="B77" s="378">
        <v>1</v>
      </c>
      <c r="C77" s="335">
        <f>+B77/B78</f>
        <v>6.8194217130387337E-5</v>
      </c>
      <c r="D77" s="333">
        <v>1</v>
      </c>
      <c r="E77" s="332">
        <f>+D77/D78</f>
        <v>7.122507122507122E-5</v>
      </c>
      <c r="F77" s="356">
        <f>+E77/C77</f>
        <v>1.0444444444444445</v>
      </c>
      <c r="G77" s="334">
        <v>100</v>
      </c>
      <c r="H77" s="381">
        <f>+F77*G77</f>
        <v>104.44444444444446</v>
      </c>
    </row>
    <row r="78" spans="1:8" x14ac:dyDescent="0.2">
      <c r="A78" s="354"/>
      <c r="B78" s="382">
        <v>14664</v>
      </c>
      <c r="C78" s="379"/>
      <c r="D78" s="383">
        <f>+E67</f>
        <v>14040</v>
      </c>
      <c r="E78" s="379"/>
      <c r="F78" s="384"/>
      <c r="G78" s="333"/>
      <c r="H78" s="380"/>
    </row>
    <row r="79" spans="1:8" x14ac:dyDescent="0.2">
      <c r="A79" s="354"/>
      <c r="B79" s="325"/>
      <c r="C79" s="480"/>
      <c r="D79" s="325"/>
      <c r="E79" s="480"/>
      <c r="F79" s="329"/>
      <c r="G79" s="481"/>
      <c r="H79" s="481"/>
    </row>
    <row r="80" spans="1:8" ht="30" customHeight="1" x14ac:dyDescent="0.2">
      <c r="A80" s="354"/>
      <c r="B80" s="804" t="s">
        <v>281</v>
      </c>
      <c r="C80" s="804"/>
      <c r="D80" s="804"/>
      <c r="E80" s="804"/>
      <c r="F80" s="192"/>
    </row>
    <row r="81" spans="1:8" x14ac:dyDescent="0.2">
      <c r="A81" s="354"/>
      <c r="B81" s="768" t="s">
        <v>30</v>
      </c>
      <c r="C81" s="768" t="s">
        <v>31</v>
      </c>
      <c r="D81" s="768" t="s">
        <v>17</v>
      </c>
      <c r="E81" s="768"/>
      <c r="F81" s="193"/>
    </row>
    <row r="82" spans="1:8" x14ac:dyDescent="0.2">
      <c r="A82" s="354"/>
      <c r="B82" s="768"/>
      <c r="C82" s="768"/>
      <c r="D82" s="475" t="s">
        <v>32</v>
      </c>
      <c r="E82" s="475" t="s">
        <v>33</v>
      </c>
      <c r="F82" s="193"/>
    </row>
    <row r="83" spans="1:8" x14ac:dyDescent="0.2">
      <c r="A83" s="354"/>
      <c r="B83" s="190" t="s">
        <v>61</v>
      </c>
      <c r="C83" s="183">
        <v>1</v>
      </c>
      <c r="D83" s="184">
        <v>872</v>
      </c>
      <c r="E83" s="191">
        <f>+D83*C83</f>
        <v>872</v>
      </c>
      <c r="F83" s="193"/>
    </row>
    <row r="84" spans="1:8" x14ac:dyDescent="0.2">
      <c r="A84" s="354"/>
      <c r="B84" s="190" t="s">
        <v>283</v>
      </c>
      <c r="C84" s="319">
        <v>3</v>
      </c>
      <c r="D84" s="418">
        <v>672</v>
      </c>
      <c r="E84" s="191">
        <f>672*3</f>
        <v>2016</v>
      </c>
      <c r="F84" s="193"/>
    </row>
    <row r="85" spans="1:8" x14ac:dyDescent="0.2">
      <c r="A85" s="354"/>
      <c r="B85" s="190" t="s">
        <v>57</v>
      </c>
      <c r="C85" s="319">
        <v>18</v>
      </c>
      <c r="D85" s="418">
        <v>472</v>
      </c>
      <c r="E85" s="191">
        <f>472*18</f>
        <v>8496</v>
      </c>
      <c r="F85" s="193"/>
    </row>
    <row r="86" spans="1:8" x14ac:dyDescent="0.2">
      <c r="A86" s="354"/>
      <c r="B86" s="455" t="s">
        <v>34</v>
      </c>
      <c r="C86" s="456">
        <f>SUM(C83:C85)</f>
        <v>22</v>
      </c>
      <c r="D86" s="457"/>
      <c r="E86" s="469">
        <f>SUM(E83:E85)</f>
        <v>11384</v>
      </c>
      <c r="F86" s="481"/>
      <c r="G86" s="481"/>
      <c r="H86" s="481"/>
    </row>
    <row r="87" spans="1:8" x14ac:dyDescent="0.2">
      <c r="A87" s="354"/>
      <c r="B87" s="336"/>
      <c r="C87" s="364"/>
      <c r="D87" s="365"/>
      <c r="E87" s="473"/>
      <c r="F87" s="481"/>
      <c r="G87" s="481"/>
      <c r="H87" s="481"/>
    </row>
    <row r="88" spans="1:8" x14ac:dyDescent="0.2">
      <c r="A88" s="354"/>
      <c r="B88" s="805" t="s">
        <v>16</v>
      </c>
      <c r="C88" s="805"/>
      <c r="D88" s="805"/>
      <c r="E88" s="805"/>
      <c r="F88" s="765" t="s">
        <v>181</v>
      </c>
      <c r="G88" s="765"/>
      <c r="H88" s="766"/>
    </row>
    <row r="89" spans="1:8" x14ac:dyDescent="0.2">
      <c r="A89" s="354"/>
      <c r="B89" s="375" t="s">
        <v>12</v>
      </c>
      <c r="C89" s="332"/>
      <c r="D89" s="332" t="s">
        <v>13</v>
      </c>
      <c r="E89" s="334"/>
      <c r="F89" s="355"/>
      <c r="G89" s="376" t="s">
        <v>14</v>
      </c>
      <c r="H89" s="377"/>
    </row>
    <row r="90" spans="1:8" x14ac:dyDescent="0.2">
      <c r="A90" s="354"/>
      <c r="B90" s="378">
        <v>1</v>
      </c>
      <c r="C90" s="335">
        <f>+B90/B91</f>
        <v>5.2631578947368418E-2</v>
      </c>
      <c r="D90" s="333">
        <v>1</v>
      </c>
      <c r="E90" s="335">
        <f>+D90/D91</f>
        <v>4.5454545454545456E-2</v>
      </c>
      <c r="F90" s="357">
        <f>+E90</f>
        <v>4.5454545454545456E-2</v>
      </c>
      <c r="G90" s="333">
        <v>100</v>
      </c>
      <c r="H90" s="381">
        <f>+F90*G90/G91</f>
        <v>86.363636363636374</v>
      </c>
    </row>
    <row r="91" spans="1:8" x14ac:dyDescent="0.2">
      <c r="A91" s="354"/>
      <c r="B91" s="378">
        <v>19</v>
      </c>
      <c r="C91" s="379"/>
      <c r="D91" s="333">
        <v>22</v>
      </c>
      <c r="E91" s="379"/>
      <c r="F91" s="378"/>
      <c r="G91" s="333">
        <f>+C90</f>
        <v>5.2631578947368418E-2</v>
      </c>
      <c r="H91" s="380"/>
    </row>
    <row r="92" spans="1:8" x14ac:dyDescent="0.2">
      <c r="A92" s="354"/>
      <c r="B92" s="331"/>
      <c r="C92" s="332"/>
      <c r="D92" s="331"/>
      <c r="E92" s="332"/>
      <c r="F92" s="334"/>
      <c r="G92" s="331"/>
      <c r="H92" s="331"/>
    </row>
    <row r="93" spans="1:8" x14ac:dyDescent="0.2">
      <c r="A93" s="354"/>
      <c r="B93" s="331"/>
      <c r="C93" s="332"/>
      <c r="D93" s="332"/>
      <c r="E93" s="331"/>
      <c r="F93" s="331"/>
      <c r="G93" s="331"/>
      <c r="H93" s="331"/>
    </row>
    <row r="94" spans="1:8" x14ac:dyDescent="0.2">
      <c r="A94" s="354"/>
      <c r="B94" s="780" t="s">
        <v>17</v>
      </c>
      <c r="C94" s="781"/>
      <c r="D94" s="781"/>
      <c r="E94" s="782"/>
      <c r="F94" s="764" t="s">
        <v>182</v>
      </c>
      <c r="G94" s="765"/>
      <c r="H94" s="766"/>
    </row>
    <row r="95" spans="1:8" x14ac:dyDescent="0.2">
      <c r="A95" s="354"/>
      <c r="B95" s="375" t="s">
        <v>12</v>
      </c>
      <c r="C95" s="332"/>
      <c r="D95" s="332" t="s">
        <v>13</v>
      </c>
      <c r="E95" s="334"/>
      <c r="F95" s="355"/>
      <c r="G95" s="334"/>
      <c r="H95" s="377"/>
    </row>
    <row r="96" spans="1:8" x14ac:dyDescent="0.2">
      <c r="A96" s="354"/>
      <c r="B96" s="378">
        <v>1</v>
      </c>
      <c r="C96" s="335">
        <f>+B96/B97</f>
        <v>1.0564124234100993E-4</v>
      </c>
      <c r="D96" s="333">
        <v>1</v>
      </c>
      <c r="E96" s="332">
        <f>+D96/D97</f>
        <v>8.7842586085734364E-5</v>
      </c>
      <c r="F96" s="356">
        <f>+E96/C96</f>
        <v>0.83151791988756152</v>
      </c>
      <c r="G96" s="334">
        <v>100</v>
      </c>
      <c r="H96" s="381">
        <f>+F96*G96</f>
        <v>83.151791988756145</v>
      </c>
    </row>
    <row r="97" spans="1:8" x14ac:dyDescent="0.2">
      <c r="A97" s="354"/>
      <c r="B97" s="382">
        <v>9466</v>
      </c>
      <c r="C97" s="379"/>
      <c r="D97" s="383">
        <f>+E86</f>
        <v>11384</v>
      </c>
      <c r="E97" s="379"/>
      <c r="F97" s="384"/>
      <c r="G97" s="333"/>
      <c r="H97" s="380"/>
    </row>
    <row r="98" spans="1:8" x14ac:dyDescent="0.2">
      <c r="A98" s="354"/>
      <c r="B98" s="325"/>
      <c r="C98" s="480"/>
      <c r="D98" s="325"/>
      <c r="E98" s="480"/>
      <c r="F98" s="329"/>
      <c r="G98" s="481"/>
      <c r="H98" s="481"/>
    </row>
    <row r="99" spans="1:8" x14ac:dyDescent="0.2">
      <c r="A99" s="354"/>
      <c r="B99" s="325"/>
      <c r="C99" s="480"/>
      <c r="D99" s="325"/>
      <c r="E99" s="480"/>
      <c r="F99" s="329"/>
      <c r="G99" s="481"/>
      <c r="H99" s="481"/>
    </row>
    <row r="100" spans="1:8" ht="54.75" customHeight="1" x14ac:dyDescent="0.2">
      <c r="A100" s="354"/>
      <c r="B100" s="804" t="s">
        <v>268</v>
      </c>
      <c r="C100" s="804"/>
      <c r="D100" s="804"/>
      <c r="E100" s="804"/>
      <c r="F100" s="192"/>
    </row>
    <row r="101" spans="1:8" x14ac:dyDescent="0.2">
      <c r="A101" s="354"/>
      <c r="B101" s="768" t="s">
        <v>30</v>
      </c>
      <c r="C101" s="768" t="s">
        <v>31</v>
      </c>
      <c r="D101" s="768" t="s">
        <v>17</v>
      </c>
      <c r="E101" s="768"/>
      <c r="F101" s="193"/>
    </row>
    <row r="102" spans="1:8" x14ac:dyDescent="0.2">
      <c r="A102" s="354"/>
      <c r="B102" s="768"/>
      <c r="C102" s="768"/>
      <c r="D102" s="475" t="s">
        <v>32</v>
      </c>
      <c r="E102" s="475" t="s">
        <v>33</v>
      </c>
      <c r="F102" s="193"/>
    </row>
    <row r="103" spans="1:8" x14ac:dyDescent="0.2">
      <c r="A103" s="354"/>
      <c r="B103" s="190" t="s">
        <v>61</v>
      </c>
      <c r="C103" s="183">
        <v>2</v>
      </c>
      <c r="D103" s="184">
        <v>872</v>
      </c>
      <c r="E103" s="191">
        <f>872*2</f>
        <v>1744</v>
      </c>
      <c r="F103" s="193"/>
    </row>
    <row r="104" spans="1:8" x14ac:dyDescent="0.2">
      <c r="A104" s="354"/>
      <c r="B104" s="190" t="s">
        <v>283</v>
      </c>
      <c r="C104" s="319">
        <v>3</v>
      </c>
      <c r="D104" s="418">
        <v>672</v>
      </c>
      <c r="E104" s="191">
        <f>672*3</f>
        <v>2016</v>
      </c>
      <c r="F104" s="193"/>
    </row>
    <row r="105" spans="1:8" x14ac:dyDescent="0.2">
      <c r="A105" s="354"/>
      <c r="B105" s="190" t="s">
        <v>57</v>
      </c>
      <c r="C105" s="319">
        <v>13</v>
      </c>
      <c r="D105" s="418">
        <v>472</v>
      </c>
      <c r="E105" s="191">
        <f>472*13</f>
        <v>6136</v>
      </c>
      <c r="F105" s="193"/>
    </row>
    <row r="106" spans="1:8" x14ac:dyDescent="0.2">
      <c r="A106" s="354"/>
      <c r="B106" s="455" t="s">
        <v>34</v>
      </c>
      <c r="C106" s="456">
        <f>SUM(C103:C105)</f>
        <v>18</v>
      </c>
      <c r="D106" s="457"/>
      <c r="E106" s="469">
        <f>SUM(E103:E105)</f>
        <v>9896</v>
      </c>
      <c r="F106" s="481"/>
      <c r="G106" s="481"/>
      <c r="H106" s="481"/>
    </row>
    <row r="107" spans="1:8" x14ac:dyDescent="0.2">
      <c r="A107" s="354"/>
      <c r="B107" s="336"/>
      <c r="C107" s="364"/>
      <c r="D107" s="365"/>
      <c r="E107" s="473"/>
      <c r="F107" s="481"/>
      <c r="G107" s="481"/>
      <c r="H107" s="481"/>
    </row>
    <row r="108" spans="1:8" x14ac:dyDescent="0.2">
      <c r="A108" s="354"/>
      <c r="B108" s="805" t="s">
        <v>16</v>
      </c>
      <c r="C108" s="805"/>
      <c r="D108" s="805"/>
      <c r="E108" s="805"/>
      <c r="F108" s="765" t="s">
        <v>181</v>
      </c>
      <c r="G108" s="765"/>
      <c r="H108" s="766"/>
    </row>
    <row r="109" spans="1:8" x14ac:dyDescent="0.2">
      <c r="A109" s="354"/>
      <c r="B109" s="375" t="s">
        <v>12</v>
      </c>
      <c r="C109" s="332"/>
      <c r="D109" s="332" t="s">
        <v>13</v>
      </c>
      <c r="E109" s="334"/>
      <c r="F109" s="355"/>
      <c r="G109" s="376" t="s">
        <v>14</v>
      </c>
      <c r="H109" s="377"/>
    </row>
    <row r="110" spans="1:8" x14ac:dyDescent="0.2">
      <c r="A110" s="354"/>
      <c r="B110" s="378">
        <v>1</v>
      </c>
      <c r="C110" s="335">
        <f>+B110/B111</f>
        <v>5.2631578947368418E-2</v>
      </c>
      <c r="D110" s="333">
        <v>1</v>
      </c>
      <c r="E110" s="335">
        <f>+D110/D111</f>
        <v>5.5555555555555552E-2</v>
      </c>
      <c r="F110" s="357">
        <f>+E110</f>
        <v>5.5555555555555552E-2</v>
      </c>
      <c r="G110" s="333">
        <v>100</v>
      </c>
      <c r="H110" s="381">
        <f>+F110*G110/G111</f>
        <v>105.55555555555556</v>
      </c>
    </row>
    <row r="111" spans="1:8" x14ac:dyDescent="0.2">
      <c r="A111" s="354"/>
      <c r="B111" s="378">
        <v>19</v>
      </c>
      <c r="C111" s="379"/>
      <c r="D111" s="333">
        <v>18</v>
      </c>
      <c r="E111" s="379"/>
      <c r="F111" s="378"/>
      <c r="G111" s="333">
        <f>+C110</f>
        <v>5.2631578947368418E-2</v>
      </c>
      <c r="H111" s="380"/>
    </row>
    <row r="112" spans="1:8" x14ac:dyDescent="0.2">
      <c r="A112" s="354"/>
      <c r="B112" s="331"/>
      <c r="C112" s="332"/>
      <c r="D112" s="331"/>
      <c r="E112" s="332"/>
      <c r="F112" s="334"/>
      <c r="G112" s="331"/>
      <c r="H112" s="331"/>
    </row>
    <row r="113" spans="1:8" x14ac:dyDescent="0.2">
      <c r="A113" s="354"/>
      <c r="B113" s="331"/>
      <c r="C113" s="332"/>
      <c r="D113" s="332"/>
      <c r="E113" s="331"/>
      <c r="F113" s="331"/>
      <c r="G113" s="331"/>
      <c r="H113" s="331"/>
    </row>
    <row r="114" spans="1:8" x14ac:dyDescent="0.2">
      <c r="A114" s="354"/>
      <c r="B114" s="780" t="s">
        <v>17</v>
      </c>
      <c r="C114" s="781"/>
      <c r="D114" s="781"/>
      <c r="E114" s="782"/>
      <c r="F114" s="764" t="s">
        <v>182</v>
      </c>
      <c r="G114" s="765"/>
      <c r="H114" s="766"/>
    </row>
    <row r="115" spans="1:8" x14ac:dyDescent="0.2">
      <c r="A115" s="354"/>
      <c r="B115" s="375" t="s">
        <v>12</v>
      </c>
      <c r="C115" s="332"/>
      <c r="D115" s="332" t="s">
        <v>13</v>
      </c>
      <c r="E115" s="334"/>
      <c r="F115" s="355"/>
      <c r="G115" s="334"/>
      <c r="H115" s="377"/>
    </row>
    <row r="116" spans="1:8" x14ac:dyDescent="0.2">
      <c r="A116" s="354"/>
      <c r="B116" s="378">
        <v>1</v>
      </c>
      <c r="C116" s="335">
        <f>+B116/B117</f>
        <v>1.0564124234100993E-4</v>
      </c>
      <c r="D116" s="333">
        <v>1</v>
      </c>
      <c r="E116" s="332">
        <f>+D116/D117</f>
        <v>1.0105092966855295E-4</v>
      </c>
      <c r="F116" s="356">
        <f>+E116/C116</f>
        <v>0.95654810024252213</v>
      </c>
      <c r="G116" s="334">
        <v>100</v>
      </c>
      <c r="H116" s="381">
        <f>+F116*G116</f>
        <v>95.654810024252214</v>
      </c>
    </row>
    <row r="117" spans="1:8" x14ac:dyDescent="0.2">
      <c r="A117" s="354"/>
      <c r="B117" s="382">
        <v>9466</v>
      </c>
      <c r="C117" s="379"/>
      <c r="D117" s="383">
        <f>+E106</f>
        <v>9896</v>
      </c>
      <c r="E117" s="379"/>
      <c r="F117" s="384"/>
      <c r="G117" s="333"/>
      <c r="H117" s="380"/>
    </row>
    <row r="118" spans="1:8" x14ac:dyDescent="0.2">
      <c r="A118" s="354"/>
      <c r="B118" s="325"/>
      <c r="C118" s="480"/>
      <c r="D118" s="325"/>
      <c r="E118" s="480"/>
      <c r="F118" s="329"/>
      <c r="G118" s="481"/>
      <c r="H118" s="481"/>
    </row>
    <row r="119" spans="1:8" x14ac:dyDescent="0.2">
      <c r="A119" s="354"/>
      <c r="B119" s="325"/>
      <c r="C119" s="480"/>
      <c r="D119" s="325"/>
      <c r="E119" s="480"/>
      <c r="F119" s="329"/>
      <c r="G119" s="481"/>
      <c r="H119" s="481"/>
    </row>
    <row r="120" spans="1:8" ht="47.25" customHeight="1" x14ac:dyDescent="0.2">
      <c r="A120" s="354"/>
      <c r="B120" s="741" t="s">
        <v>286</v>
      </c>
      <c r="C120" s="741"/>
      <c r="D120" s="741"/>
      <c r="E120" s="741"/>
      <c r="F120" s="329"/>
      <c r="G120" s="481"/>
      <c r="H120" s="481"/>
    </row>
    <row r="121" spans="1:8" x14ac:dyDescent="0.2">
      <c r="A121" s="354"/>
      <c r="B121" s="742" t="s">
        <v>30</v>
      </c>
      <c r="C121" s="742" t="s">
        <v>31</v>
      </c>
      <c r="D121" s="742" t="s">
        <v>17</v>
      </c>
      <c r="E121" s="742"/>
      <c r="F121" s="329"/>
      <c r="G121" s="481"/>
      <c r="H121" s="481"/>
    </row>
    <row r="122" spans="1:8" x14ac:dyDescent="0.2">
      <c r="A122" s="354"/>
      <c r="B122" s="742"/>
      <c r="C122" s="742"/>
      <c r="D122" s="474" t="s">
        <v>32</v>
      </c>
      <c r="E122" s="474" t="s">
        <v>33</v>
      </c>
      <c r="F122" s="329"/>
      <c r="G122" s="481"/>
      <c r="H122" s="481"/>
    </row>
    <row r="123" spans="1:8" x14ac:dyDescent="0.2">
      <c r="A123" s="354"/>
      <c r="B123" s="179" t="s">
        <v>61</v>
      </c>
      <c r="C123" s="183">
        <v>10</v>
      </c>
      <c r="D123" s="184">
        <v>872</v>
      </c>
      <c r="E123" s="191">
        <f>+D123*C123</f>
        <v>8720</v>
      </c>
      <c r="F123" s="329"/>
      <c r="G123" s="481"/>
      <c r="H123" s="481"/>
    </row>
    <row r="124" spans="1:8" x14ac:dyDescent="0.2">
      <c r="A124" s="354"/>
      <c r="B124" s="361" t="s">
        <v>34</v>
      </c>
      <c r="C124" s="424">
        <f>SUM(C123:C123)</f>
        <v>10</v>
      </c>
      <c r="D124" s="362"/>
      <c r="E124" s="363">
        <f>SUM(E123:E123)</f>
        <v>8720</v>
      </c>
      <c r="F124" s="329"/>
      <c r="G124" s="481"/>
      <c r="H124" s="481"/>
    </row>
    <row r="125" spans="1:8" x14ac:dyDescent="0.2">
      <c r="A125" s="354"/>
      <c r="B125" s="325"/>
      <c r="C125" s="480"/>
      <c r="D125" s="325"/>
      <c r="E125" s="480"/>
      <c r="F125" s="329"/>
      <c r="G125" s="481"/>
      <c r="H125" s="481"/>
    </row>
    <row r="126" spans="1:8" x14ac:dyDescent="0.2">
      <c r="A126" s="354"/>
      <c r="B126" s="805" t="s">
        <v>16</v>
      </c>
      <c r="C126" s="805"/>
      <c r="D126" s="805"/>
      <c r="E126" s="805"/>
      <c r="F126" s="765" t="s">
        <v>181</v>
      </c>
      <c r="G126" s="765"/>
      <c r="H126" s="766"/>
    </row>
    <row r="127" spans="1:8" x14ac:dyDescent="0.2">
      <c r="A127" s="354"/>
      <c r="B127" s="375" t="s">
        <v>12</v>
      </c>
      <c r="C127" s="332"/>
      <c r="D127" s="332" t="s">
        <v>13</v>
      </c>
      <c r="E127" s="334"/>
      <c r="F127" s="355"/>
      <c r="G127" s="376" t="s">
        <v>14</v>
      </c>
      <c r="H127" s="377"/>
    </row>
    <row r="128" spans="1:8" x14ac:dyDescent="0.2">
      <c r="A128" s="354"/>
      <c r="B128" s="378">
        <v>1</v>
      </c>
      <c r="C128" s="335">
        <f>+B128/B129</f>
        <v>0.1</v>
      </c>
      <c r="D128" s="333">
        <v>1</v>
      </c>
      <c r="E128" s="335">
        <f>+D128/D129</f>
        <v>0.1</v>
      </c>
      <c r="F128" s="357">
        <f>+E128</f>
        <v>0.1</v>
      </c>
      <c r="G128" s="333">
        <v>100</v>
      </c>
      <c r="H128" s="381">
        <f>+F128*G128/0.1</f>
        <v>100</v>
      </c>
    </row>
    <row r="129" spans="1:8" x14ac:dyDescent="0.2">
      <c r="A129" s="354"/>
      <c r="B129" s="487">
        <v>10</v>
      </c>
      <c r="C129" s="379"/>
      <c r="D129" s="488">
        <f>+C124</f>
        <v>10</v>
      </c>
      <c r="E129" s="379"/>
      <c r="F129" s="378"/>
      <c r="G129" s="333">
        <f>+C128</f>
        <v>0.1</v>
      </c>
      <c r="H129" s="380"/>
    </row>
    <row r="130" spans="1:8" x14ac:dyDescent="0.2">
      <c r="A130" s="354"/>
      <c r="B130" s="331"/>
      <c r="C130" s="332"/>
      <c r="D130" s="331"/>
      <c r="E130" s="332"/>
      <c r="F130" s="334"/>
      <c r="G130" s="331"/>
      <c r="H130" s="331"/>
    </row>
    <row r="131" spans="1:8" x14ac:dyDescent="0.2">
      <c r="A131" s="354"/>
      <c r="B131" s="331"/>
      <c r="C131" s="332"/>
      <c r="D131" s="332"/>
      <c r="E131" s="331"/>
      <c r="F131" s="331"/>
      <c r="G131" s="331"/>
      <c r="H131" s="331"/>
    </row>
    <row r="132" spans="1:8" x14ac:dyDescent="0.2">
      <c r="A132" s="354"/>
      <c r="B132" s="780" t="s">
        <v>17</v>
      </c>
      <c r="C132" s="781"/>
      <c r="D132" s="781"/>
      <c r="E132" s="782"/>
      <c r="F132" s="764" t="s">
        <v>182</v>
      </c>
      <c r="G132" s="765"/>
      <c r="H132" s="766"/>
    </row>
    <row r="133" spans="1:8" x14ac:dyDescent="0.2">
      <c r="A133" s="354"/>
      <c r="B133" s="375" t="s">
        <v>12</v>
      </c>
      <c r="C133" s="332"/>
      <c r="D133" s="332" t="s">
        <v>13</v>
      </c>
      <c r="E133" s="334"/>
      <c r="F133" s="355"/>
      <c r="G133" s="334"/>
      <c r="H133" s="377"/>
    </row>
    <row r="134" spans="1:8" x14ac:dyDescent="0.2">
      <c r="A134" s="354"/>
      <c r="B134" s="378">
        <v>1</v>
      </c>
      <c r="C134" s="335">
        <f>+B134/B135</f>
        <v>1.0989010989010989E-4</v>
      </c>
      <c r="D134" s="333">
        <v>1</v>
      </c>
      <c r="E134" s="332">
        <f>+D134/D135</f>
        <v>1.1467889908256881E-4</v>
      </c>
      <c r="F134" s="356">
        <f>+E134/C134</f>
        <v>1.0435779816513762</v>
      </c>
      <c r="G134" s="334">
        <v>100</v>
      </c>
      <c r="H134" s="381">
        <f>+F134*G134</f>
        <v>104.35779816513761</v>
      </c>
    </row>
    <row r="135" spans="1:8" x14ac:dyDescent="0.2">
      <c r="A135" s="354"/>
      <c r="B135" s="382">
        <v>9100</v>
      </c>
      <c r="C135" s="379"/>
      <c r="D135" s="383">
        <v>8720</v>
      </c>
      <c r="E135" s="379"/>
      <c r="F135" s="384"/>
      <c r="G135" s="333"/>
      <c r="H135" s="380"/>
    </row>
    <row r="136" spans="1:8" x14ac:dyDescent="0.2">
      <c r="A136" s="354"/>
      <c r="B136" s="325"/>
      <c r="C136" s="480"/>
      <c r="D136" s="325"/>
      <c r="E136" s="480"/>
      <c r="F136" s="329"/>
      <c r="G136" s="481"/>
      <c r="H136" s="481"/>
    </row>
    <row r="137" spans="1:8" x14ac:dyDescent="0.2">
      <c r="A137" s="354"/>
      <c r="B137" s="325"/>
      <c r="C137" s="480"/>
      <c r="D137" s="325"/>
      <c r="E137" s="480"/>
      <c r="F137" s="329"/>
      <c r="G137" s="481"/>
      <c r="H137" s="481"/>
    </row>
    <row r="138" spans="1:8" ht="41.25" customHeight="1" x14ac:dyDescent="0.2">
      <c r="A138" s="354"/>
      <c r="B138" s="741" t="s">
        <v>287</v>
      </c>
      <c r="C138" s="741"/>
      <c r="D138" s="741"/>
      <c r="E138" s="741"/>
      <c r="F138" s="329"/>
      <c r="G138" s="481"/>
      <c r="H138" s="481"/>
    </row>
    <row r="139" spans="1:8" x14ac:dyDescent="0.2">
      <c r="A139" s="354"/>
      <c r="B139" s="742" t="s">
        <v>30</v>
      </c>
      <c r="C139" s="742" t="s">
        <v>31</v>
      </c>
      <c r="D139" s="742" t="s">
        <v>17</v>
      </c>
      <c r="E139" s="742"/>
      <c r="F139" s="329"/>
      <c r="G139" s="481"/>
      <c r="H139" s="481"/>
    </row>
    <row r="140" spans="1:8" x14ac:dyDescent="0.2">
      <c r="A140" s="354"/>
      <c r="B140" s="742"/>
      <c r="C140" s="742"/>
      <c r="D140" s="474" t="s">
        <v>32</v>
      </c>
      <c r="E140" s="474" t="s">
        <v>33</v>
      </c>
      <c r="F140" s="329"/>
      <c r="G140" s="481"/>
      <c r="H140" s="481"/>
    </row>
    <row r="141" spans="1:8" x14ac:dyDescent="0.2">
      <c r="A141" s="354"/>
      <c r="B141" s="179" t="s">
        <v>61</v>
      </c>
      <c r="C141" s="183">
        <v>10</v>
      </c>
      <c r="D141" s="184">
        <v>872</v>
      </c>
      <c r="E141" s="191">
        <f>+D141*C141</f>
        <v>8720</v>
      </c>
      <c r="F141" s="329"/>
      <c r="G141" s="481"/>
      <c r="H141" s="481"/>
    </row>
    <row r="142" spans="1:8" x14ac:dyDescent="0.2">
      <c r="A142" s="354"/>
      <c r="B142" s="361" t="s">
        <v>34</v>
      </c>
      <c r="C142" s="424">
        <f>SUM(C141:C141)</f>
        <v>10</v>
      </c>
      <c r="D142" s="362"/>
      <c r="E142" s="363">
        <f>SUM(E141:E141)</f>
        <v>8720</v>
      </c>
      <c r="F142" s="329"/>
      <c r="G142" s="481"/>
      <c r="H142" s="481"/>
    </row>
    <row r="143" spans="1:8" x14ac:dyDescent="0.2">
      <c r="A143" s="354"/>
      <c r="B143" s="325"/>
      <c r="C143" s="480"/>
      <c r="D143" s="325"/>
      <c r="E143" s="480"/>
      <c r="F143" s="329"/>
      <c r="G143" s="481"/>
      <c r="H143" s="481"/>
    </row>
    <row r="144" spans="1:8" x14ac:dyDescent="0.2">
      <c r="A144" s="354"/>
      <c r="B144" s="805" t="s">
        <v>16</v>
      </c>
      <c r="C144" s="805"/>
      <c r="D144" s="805"/>
      <c r="E144" s="805"/>
      <c r="F144" s="765" t="s">
        <v>181</v>
      </c>
      <c r="G144" s="765"/>
      <c r="H144" s="766"/>
    </row>
    <row r="145" spans="1:8" x14ac:dyDescent="0.2">
      <c r="A145" s="354"/>
      <c r="B145" s="375" t="s">
        <v>12</v>
      </c>
      <c r="C145" s="332"/>
      <c r="D145" s="332" t="s">
        <v>13</v>
      </c>
      <c r="E145" s="334"/>
      <c r="F145" s="355"/>
      <c r="G145" s="376" t="s">
        <v>14</v>
      </c>
      <c r="H145" s="377"/>
    </row>
    <row r="146" spans="1:8" x14ac:dyDescent="0.2">
      <c r="A146" s="354"/>
      <c r="B146" s="378">
        <v>1</v>
      </c>
      <c r="C146" s="335">
        <f>+B146/B147</f>
        <v>0.1</v>
      </c>
      <c r="D146" s="333">
        <v>1</v>
      </c>
      <c r="E146" s="335">
        <f>+D146/D147</f>
        <v>0.1</v>
      </c>
      <c r="F146" s="357">
        <f>+E146</f>
        <v>0.1</v>
      </c>
      <c r="G146" s="333">
        <v>100</v>
      </c>
      <c r="H146" s="381">
        <f>+F146*G146/0.1</f>
        <v>100</v>
      </c>
    </row>
    <row r="147" spans="1:8" x14ac:dyDescent="0.2">
      <c r="A147" s="354"/>
      <c r="B147" s="487">
        <v>10</v>
      </c>
      <c r="C147" s="379"/>
      <c r="D147" s="488">
        <f>+C142</f>
        <v>10</v>
      </c>
      <c r="E147" s="379"/>
      <c r="F147" s="378"/>
      <c r="G147" s="333">
        <f>+C146</f>
        <v>0.1</v>
      </c>
      <c r="H147" s="380"/>
    </row>
    <row r="148" spans="1:8" x14ac:dyDescent="0.2">
      <c r="A148" s="354"/>
      <c r="B148" s="331"/>
      <c r="C148" s="332"/>
      <c r="D148" s="331"/>
      <c r="E148" s="332"/>
      <c r="F148" s="334"/>
      <c r="G148" s="331"/>
      <c r="H148" s="331"/>
    </row>
    <row r="149" spans="1:8" x14ac:dyDescent="0.2">
      <c r="A149" s="354"/>
      <c r="B149" s="331"/>
      <c r="C149" s="332"/>
      <c r="D149" s="332"/>
      <c r="E149" s="331"/>
      <c r="F149" s="331"/>
      <c r="G149" s="331"/>
      <c r="H149" s="331"/>
    </row>
    <row r="150" spans="1:8" x14ac:dyDescent="0.2">
      <c r="A150" s="354"/>
      <c r="B150" s="780" t="s">
        <v>17</v>
      </c>
      <c r="C150" s="781"/>
      <c r="D150" s="781"/>
      <c r="E150" s="782"/>
      <c r="F150" s="764" t="s">
        <v>182</v>
      </c>
      <c r="G150" s="765"/>
      <c r="H150" s="766"/>
    </row>
    <row r="151" spans="1:8" x14ac:dyDescent="0.2">
      <c r="A151" s="354"/>
      <c r="B151" s="375" t="s">
        <v>12</v>
      </c>
      <c r="C151" s="332"/>
      <c r="D151" s="332" t="s">
        <v>13</v>
      </c>
      <c r="E151" s="334"/>
      <c r="F151" s="355"/>
      <c r="G151" s="334"/>
      <c r="H151" s="377"/>
    </row>
    <row r="152" spans="1:8" x14ac:dyDescent="0.2">
      <c r="A152" s="354"/>
      <c r="B152" s="378">
        <v>1</v>
      </c>
      <c r="C152" s="335">
        <f>+B152/B153</f>
        <v>1.0989010989010989E-4</v>
      </c>
      <c r="D152" s="333">
        <v>1</v>
      </c>
      <c r="E152" s="332">
        <f>+D152/D153</f>
        <v>1.1467889908256881E-4</v>
      </c>
      <c r="F152" s="356">
        <f>+E152/C152</f>
        <v>1.0435779816513762</v>
      </c>
      <c r="G152" s="334">
        <v>100</v>
      </c>
      <c r="H152" s="381">
        <f>+F152*G152</f>
        <v>104.35779816513761</v>
      </c>
    </row>
    <row r="153" spans="1:8" x14ac:dyDescent="0.2">
      <c r="A153" s="354"/>
      <c r="B153" s="382">
        <v>9100</v>
      </c>
      <c r="C153" s="379"/>
      <c r="D153" s="383">
        <v>8720</v>
      </c>
      <c r="E153" s="379"/>
      <c r="F153" s="384"/>
      <c r="G153" s="333"/>
      <c r="H153" s="380"/>
    </row>
    <row r="154" spans="1:8" x14ac:dyDescent="0.2">
      <c r="A154" s="354"/>
      <c r="B154" s="325"/>
      <c r="C154" s="480"/>
      <c r="D154" s="325"/>
      <c r="E154" s="480"/>
      <c r="F154" s="329"/>
      <c r="G154" s="481"/>
      <c r="H154" s="481"/>
    </row>
    <row r="155" spans="1:8" x14ac:dyDescent="0.2">
      <c r="A155" s="354"/>
      <c r="B155" s="325"/>
      <c r="C155" s="480"/>
      <c r="D155" s="325"/>
      <c r="E155" s="480"/>
      <c r="F155" s="329"/>
      <c r="G155" s="481"/>
      <c r="H155" s="481"/>
    </row>
    <row r="156" spans="1:8" ht="11.25" customHeight="1" x14ac:dyDescent="0.2">
      <c r="B156" s="325"/>
      <c r="C156" s="480"/>
      <c r="D156" s="325"/>
      <c r="E156" s="480"/>
      <c r="F156" s="329"/>
      <c r="G156" s="481"/>
      <c r="H156" s="481"/>
    </row>
    <row r="157" spans="1:8" ht="0.75" hidden="1" customHeight="1" x14ac:dyDescent="0.2">
      <c r="B157" s="481"/>
      <c r="C157" s="323" t="s">
        <v>174</v>
      </c>
      <c r="D157" s="481"/>
      <c r="E157" s="481"/>
      <c r="F157" s="481"/>
      <c r="G157" s="481"/>
      <c r="H157" s="481"/>
    </row>
    <row r="158" spans="1:8" ht="2.25" hidden="1" customHeight="1" x14ac:dyDescent="0.2">
      <c r="B158" s="790" t="s">
        <v>175</v>
      </c>
      <c r="C158" s="791"/>
      <c r="D158" s="791"/>
      <c r="E158" s="792"/>
      <c r="F158" s="481"/>
      <c r="G158" s="481"/>
      <c r="H158" s="481"/>
    </row>
    <row r="159" spans="1:8" hidden="1" x14ac:dyDescent="0.2">
      <c r="B159" s="767" t="s">
        <v>30</v>
      </c>
      <c r="C159" s="768" t="s">
        <v>31</v>
      </c>
      <c r="D159" s="768" t="s">
        <v>17</v>
      </c>
      <c r="E159" s="769"/>
      <c r="F159" s="481"/>
      <c r="G159" s="481"/>
      <c r="H159" s="481"/>
    </row>
    <row r="160" spans="1:8" hidden="1" x14ac:dyDescent="0.2">
      <c r="B160" s="767"/>
      <c r="C160" s="768"/>
      <c r="D160" s="475" t="s">
        <v>32</v>
      </c>
      <c r="E160" s="477" t="s">
        <v>33</v>
      </c>
      <c r="F160" s="481"/>
      <c r="G160" s="481"/>
      <c r="H160" s="481"/>
    </row>
    <row r="161" spans="2:8" hidden="1" x14ac:dyDescent="0.2">
      <c r="B161" s="182" t="s">
        <v>61</v>
      </c>
      <c r="C161" s="183">
        <v>0</v>
      </c>
      <c r="D161" s="184">
        <v>0</v>
      </c>
      <c r="E161" s="185">
        <f>+D161*C161</f>
        <v>0</v>
      </c>
      <c r="F161" s="481"/>
      <c r="G161" s="481"/>
      <c r="H161" s="481"/>
    </row>
    <row r="162" spans="2:8" hidden="1" x14ac:dyDescent="0.2">
      <c r="B162" s="182" t="s">
        <v>73</v>
      </c>
      <c r="C162" s="183">
        <f>144/8</f>
        <v>18</v>
      </c>
      <c r="D162" s="184">
        <v>385</v>
      </c>
      <c r="E162" s="185">
        <f>+D162*C162</f>
        <v>6930</v>
      </c>
      <c r="F162" s="481"/>
      <c r="G162" s="481"/>
      <c r="H162" s="481"/>
    </row>
    <row r="163" spans="2:8" ht="13.5" hidden="1" thickBot="1" x14ac:dyDescent="0.25">
      <c r="B163" s="194" t="s">
        <v>34</v>
      </c>
      <c r="C163" s="187">
        <f>SUM(C161:C162)</f>
        <v>18</v>
      </c>
      <c r="D163" s="195"/>
      <c r="E163" s="189">
        <f>SUM(E161:E162)</f>
        <v>6930</v>
      </c>
      <c r="F163" s="481"/>
      <c r="G163" s="481"/>
      <c r="H163" s="481"/>
    </row>
    <row r="164" spans="2:8" hidden="1" x14ac:dyDescent="0.2">
      <c r="B164" s="481"/>
      <c r="C164" s="481"/>
      <c r="D164" s="481"/>
      <c r="E164" s="481"/>
      <c r="F164" s="481"/>
      <c r="G164" s="481"/>
      <c r="H164" s="481"/>
    </row>
    <row r="165" spans="2:8" hidden="1" x14ac:dyDescent="0.2">
      <c r="B165" s="793" t="s">
        <v>16</v>
      </c>
      <c r="C165" s="793"/>
      <c r="D165" s="793"/>
      <c r="E165" s="794"/>
      <c r="F165" s="481"/>
      <c r="G165" s="481" t="s">
        <v>178</v>
      </c>
      <c r="H165" s="481"/>
    </row>
    <row r="166" spans="2:8" hidden="1" x14ac:dyDescent="0.2">
      <c r="B166" s="481" t="s">
        <v>12</v>
      </c>
      <c r="C166" s="480"/>
      <c r="D166" s="480" t="s">
        <v>13</v>
      </c>
      <c r="E166" s="481"/>
      <c r="F166" s="481"/>
      <c r="G166" s="481" t="s">
        <v>14</v>
      </c>
      <c r="H166" s="481"/>
    </row>
    <row r="167" spans="2:8" hidden="1" x14ac:dyDescent="0.2">
      <c r="B167" s="324">
        <v>1</v>
      </c>
      <c r="C167" s="480">
        <f>+B167/B168</f>
        <v>0.05</v>
      </c>
      <c r="D167" s="324">
        <v>1</v>
      </c>
      <c r="E167" s="480">
        <f>+D167/D168</f>
        <v>5.5555555555555552E-2</v>
      </c>
      <c r="F167" s="324">
        <f>+E167</f>
        <v>5.5555555555555552E-2</v>
      </c>
      <c r="G167" s="481">
        <v>100</v>
      </c>
      <c r="H167" s="481">
        <f>+F167*G167/G168</f>
        <v>111.1111111111111</v>
      </c>
    </row>
    <row r="168" spans="2:8" hidden="1" x14ac:dyDescent="0.2">
      <c r="B168" s="481">
        <v>20</v>
      </c>
      <c r="C168" s="480"/>
      <c r="D168" s="481">
        <v>18</v>
      </c>
      <c r="E168" s="480"/>
      <c r="F168" s="481"/>
      <c r="G168" s="481">
        <f>+C167</f>
        <v>0.05</v>
      </c>
      <c r="H168" s="481"/>
    </row>
    <row r="169" spans="2:8" hidden="1" x14ac:dyDescent="0.2">
      <c r="B169" s="481"/>
      <c r="C169" s="480"/>
      <c r="D169" s="480"/>
      <c r="E169" s="481"/>
      <c r="F169" s="481"/>
      <c r="G169" s="481"/>
      <c r="H169" s="481"/>
    </row>
    <row r="170" spans="2:8" hidden="1" x14ac:dyDescent="0.2">
      <c r="B170" s="481"/>
      <c r="C170" s="768" t="s">
        <v>17</v>
      </c>
      <c r="D170" s="769"/>
      <c r="E170" s="481"/>
      <c r="F170" s="481"/>
      <c r="G170" s="481"/>
      <c r="H170" s="481"/>
    </row>
    <row r="171" spans="2:8" ht="3" hidden="1" customHeight="1" x14ac:dyDescent="0.2">
      <c r="B171" s="481" t="s">
        <v>12</v>
      </c>
      <c r="C171" s="480"/>
      <c r="D171" s="480" t="s">
        <v>13</v>
      </c>
      <c r="E171" s="481"/>
      <c r="F171" s="481"/>
      <c r="G171" s="481"/>
      <c r="H171" s="481"/>
    </row>
    <row r="172" spans="2:8" hidden="1" x14ac:dyDescent="0.2">
      <c r="B172" s="324">
        <v>1</v>
      </c>
      <c r="C172" s="326">
        <f>+B172/B173</f>
        <v>7.7603600807077451E-5</v>
      </c>
      <c r="D172" s="324">
        <v>1</v>
      </c>
      <c r="E172" s="480">
        <f>+D172/D173</f>
        <v>1.443001443001443E-4</v>
      </c>
      <c r="F172" s="328">
        <f>+E172/C172</f>
        <v>1.8594516594516595</v>
      </c>
      <c r="G172" s="481">
        <v>100</v>
      </c>
      <c r="H172" s="327">
        <f>+F172*G172</f>
        <v>185.94516594516594</v>
      </c>
    </row>
    <row r="173" spans="2:8" hidden="1" x14ac:dyDescent="0.2">
      <c r="B173" s="325">
        <v>12886</v>
      </c>
      <c r="C173" s="480"/>
      <c r="D173" s="325">
        <v>6930</v>
      </c>
      <c r="E173" s="480"/>
      <c r="F173" s="329"/>
      <c r="G173" s="481"/>
      <c r="H173" s="481"/>
    </row>
    <row r="174" spans="2:8" hidden="1" x14ac:dyDescent="0.2">
      <c r="B174" s="481"/>
      <c r="C174" s="481"/>
      <c r="D174" s="481"/>
      <c r="E174" s="481"/>
      <c r="F174" s="481"/>
      <c r="G174" s="481"/>
      <c r="H174" s="481"/>
    </row>
    <row r="175" spans="2:8" hidden="1" x14ac:dyDescent="0.2">
      <c r="B175" s="481"/>
      <c r="C175" s="481"/>
      <c r="D175" s="481"/>
      <c r="E175" s="481"/>
      <c r="F175" s="481"/>
      <c r="G175" s="481"/>
      <c r="H175" s="481"/>
    </row>
    <row r="176" spans="2:8" hidden="1" x14ac:dyDescent="0.2">
      <c r="C176" s="323" t="s">
        <v>174</v>
      </c>
    </row>
    <row r="177" spans="2:8" ht="39.75" hidden="1" customHeight="1" x14ac:dyDescent="0.2">
      <c r="B177" s="790" t="s">
        <v>116</v>
      </c>
      <c r="C177" s="791"/>
      <c r="D177" s="791"/>
      <c r="E177" s="792"/>
    </row>
    <row r="178" spans="2:8" hidden="1" x14ac:dyDescent="0.2">
      <c r="B178" s="767" t="s">
        <v>30</v>
      </c>
      <c r="C178" s="768" t="s">
        <v>31</v>
      </c>
      <c r="D178" s="768" t="s">
        <v>17</v>
      </c>
      <c r="E178" s="769"/>
    </row>
    <row r="179" spans="2:8" hidden="1" x14ac:dyDescent="0.2">
      <c r="B179" s="767"/>
      <c r="C179" s="768"/>
      <c r="D179" s="475" t="s">
        <v>32</v>
      </c>
      <c r="E179" s="477" t="s">
        <v>33</v>
      </c>
    </row>
    <row r="180" spans="2:8" hidden="1" x14ac:dyDescent="0.2">
      <c r="B180" s="182" t="s">
        <v>61</v>
      </c>
      <c r="C180" s="183">
        <v>2</v>
      </c>
      <c r="D180" s="184">
        <v>872</v>
      </c>
      <c r="E180" s="185">
        <f>+D180*C180</f>
        <v>1744</v>
      </c>
    </row>
    <row r="181" spans="2:8" hidden="1" x14ac:dyDescent="0.2">
      <c r="B181" s="182" t="s">
        <v>27</v>
      </c>
      <c r="C181" s="183">
        <f>72/8</f>
        <v>9</v>
      </c>
      <c r="D181" s="184">
        <v>672</v>
      </c>
      <c r="E181" s="185">
        <f t="shared" ref="E181:E182" si="2">+D181*C181</f>
        <v>6048</v>
      </c>
    </row>
    <row r="182" spans="2:8" hidden="1" x14ac:dyDescent="0.2">
      <c r="B182" s="182" t="s">
        <v>29</v>
      </c>
      <c r="C182" s="319">
        <f>66/8</f>
        <v>8.25</v>
      </c>
      <c r="D182" s="184">
        <v>672</v>
      </c>
      <c r="E182" s="185">
        <f t="shared" si="2"/>
        <v>5544</v>
      </c>
    </row>
    <row r="183" spans="2:8" ht="13.5" hidden="1" thickBot="1" x14ac:dyDescent="0.25">
      <c r="B183" s="194" t="s">
        <v>34</v>
      </c>
      <c r="C183" s="320">
        <f>SUM(C180:C182)</f>
        <v>19.25</v>
      </c>
      <c r="D183" s="195"/>
      <c r="E183" s="189">
        <f>SUM(E180:E181)</f>
        <v>7792</v>
      </c>
    </row>
    <row r="184" spans="2:8" ht="7.5" customHeight="1" x14ac:dyDescent="0.2"/>
    <row r="185" spans="2:8" hidden="1" x14ac:dyDescent="0.2">
      <c r="B185" s="770" t="s">
        <v>16</v>
      </c>
      <c r="C185" s="770"/>
      <c r="D185" s="770"/>
      <c r="E185" s="771"/>
      <c r="F185" s="345"/>
      <c r="G185" s="345" t="s">
        <v>178</v>
      </c>
      <c r="H185" s="345"/>
    </row>
    <row r="186" spans="2:8" hidden="1" x14ac:dyDescent="0.2">
      <c r="B186" s="345" t="s">
        <v>12</v>
      </c>
      <c r="C186" s="480"/>
      <c r="D186" s="480" t="s">
        <v>13</v>
      </c>
      <c r="E186" s="345"/>
      <c r="F186" s="345"/>
      <c r="G186" s="345" t="s">
        <v>14</v>
      </c>
      <c r="H186" s="345"/>
    </row>
    <row r="187" spans="2:8" hidden="1" x14ac:dyDescent="0.2">
      <c r="B187" s="344">
        <v>1</v>
      </c>
      <c r="C187" s="480">
        <f>+B187/B188</f>
        <v>0.05</v>
      </c>
      <c r="D187" s="344">
        <v>1</v>
      </c>
      <c r="E187" s="480">
        <f>+D187/D188</f>
        <v>5.5555555555555552E-2</v>
      </c>
      <c r="F187" s="344">
        <f>+E187</f>
        <v>5.5555555555555552E-2</v>
      </c>
      <c r="G187" s="345">
        <v>100</v>
      </c>
      <c r="H187" s="345">
        <f>+F187*G187/G188</f>
        <v>111.1111111111111</v>
      </c>
    </row>
    <row r="188" spans="2:8" hidden="1" x14ac:dyDescent="0.2">
      <c r="B188" s="345">
        <v>20</v>
      </c>
      <c r="C188" s="480"/>
      <c r="D188" s="345">
        <v>18</v>
      </c>
      <c r="E188" s="480"/>
      <c r="F188" s="345"/>
      <c r="G188" s="345">
        <f>+C187</f>
        <v>0.05</v>
      </c>
      <c r="H188" s="345"/>
    </row>
    <row r="189" spans="2:8" hidden="1" x14ac:dyDescent="0.2">
      <c r="B189" s="345"/>
      <c r="C189" s="480"/>
      <c r="D189" s="480"/>
      <c r="E189" s="345"/>
      <c r="F189" s="345"/>
      <c r="G189" s="345"/>
      <c r="H189" s="345"/>
    </row>
    <row r="190" spans="2:8" hidden="1" x14ac:dyDescent="0.2">
      <c r="B190" s="345"/>
      <c r="C190" s="768" t="s">
        <v>17</v>
      </c>
      <c r="D190" s="769"/>
      <c r="E190" s="345"/>
      <c r="F190" s="345"/>
      <c r="G190" s="345"/>
      <c r="H190" s="345"/>
    </row>
    <row r="191" spans="2:8" hidden="1" x14ac:dyDescent="0.2">
      <c r="B191" s="345" t="s">
        <v>12</v>
      </c>
      <c r="C191" s="480"/>
      <c r="D191" s="480" t="s">
        <v>13</v>
      </c>
      <c r="E191" s="345"/>
      <c r="F191" s="345"/>
      <c r="G191" s="345"/>
      <c r="H191" s="345"/>
    </row>
    <row r="192" spans="2:8" hidden="1" x14ac:dyDescent="0.2">
      <c r="B192" s="344">
        <v>1</v>
      </c>
      <c r="C192" s="326">
        <f>+B192/B193</f>
        <v>7.7603600807077451E-5</v>
      </c>
      <c r="D192" s="344">
        <v>1</v>
      </c>
      <c r="E192" s="480">
        <f>+D192/D193</f>
        <v>1.443001443001443E-4</v>
      </c>
      <c r="F192" s="328">
        <v>3.9707750999999999E-2</v>
      </c>
      <c r="G192" s="345">
        <v>100</v>
      </c>
      <c r="H192" s="351">
        <f>+F192*G192/F193</f>
        <v>1384.5101464435147</v>
      </c>
    </row>
    <row r="193" spans="1:8" hidden="1" x14ac:dyDescent="0.2">
      <c r="B193" s="353">
        <v>12886</v>
      </c>
      <c r="C193" s="480"/>
      <c r="D193" s="353">
        <v>6930</v>
      </c>
      <c r="E193" s="480"/>
      <c r="F193" s="329">
        <v>2.8679999999999999E-3</v>
      </c>
      <c r="G193" s="345"/>
      <c r="H193" s="345"/>
    </row>
    <row r="194" spans="1:8" hidden="1" x14ac:dyDescent="0.2"/>
    <row r="195" spans="1:8" x14ac:dyDescent="0.2">
      <c r="B195" s="367" t="s">
        <v>177</v>
      </c>
      <c r="C195" s="368" t="s">
        <v>186</v>
      </c>
      <c r="D195" s="369"/>
    </row>
    <row r="196" spans="1:8" x14ac:dyDescent="0.2">
      <c r="A196" s="172" t="s">
        <v>177</v>
      </c>
      <c r="B196" s="370"/>
      <c r="C196" s="371" t="s">
        <v>184</v>
      </c>
      <c r="D196" s="372"/>
    </row>
    <row r="197" spans="1:8" x14ac:dyDescent="0.2">
      <c r="B197" s="370"/>
      <c r="C197" s="370"/>
      <c r="D197" s="370"/>
    </row>
    <row r="198" spans="1:8" x14ac:dyDescent="0.2">
      <c r="B198" s="370"/>
      <c r="C198" s="370"/>
      <c r="D198" s="370"/>
    </row>
    <row r="199" spans="1:8" x14ac:dyDescent="0.2">
      <c r="B199" s="367" t="s">
        <v>177</v>
      </c>
      <c r="C199" s="368" t="s">
        <v>187</v>
      </c>
      <c r="D199" s="369"/>
    </row>
    <row r="200" spans="1:8" x14ac:dyDescent="0.2">
      <c r="B200" s="370"/>
      <c r="C200" s="371" t="s">
        <v>185</v>
      </c>
      <c r="D200" s="372"/>
    </row>
  </sheetData>
  <mergeCells count="88">
    <mergeCell ref="F144:H144"/>
    <mergeCell ref="F150:H150"/>
    <mergeCell ref="D101:E101"/>
    <mergeCell ref="B108:E108"/>
    <mergeCell ref="B114:E114"/>
    <mergeCell ref="F114:H114"/>
    <mergeCell ref="B120:E120"/>
    <mergeCell ref="F108:H108"/>
    <mergeCell ref="F126:H126"/>
    <mergeCell ref="F132:H132"/>
    <mergeCell ref="B138:E138"/>
    <mergeCell ref="B139:B140"/>
    <mergeCell ref="C139:C140"/>
    <mergeCell ref="D139:E139"/>
    <mergeCell ref="B185:E185"/>
    <mergeCell ref="B121:B122"/>
    <mergeCell ref="C121:C122"/>
    <mergeCell ref="D121:E121"/>
    <mergeCell ref="B144:E144"/>
    <mergeCell ref="B150:E150"/>
    <mergeCell ref="B126:E126"/>
    <mergeCell ref="B132:E132"/>
    <mergeCell ref="B178:B179"/>
    <mergeCell ref="C178:C179"/>
    <mergeCell ref="D178:E178"/>
    <mergeCell ref="C190:D190"/>
    <mergeCell ref="B80:E80"/>
    <mergeCell ref="B81:B82"/>
    <mergeCell ref="C81:C82"/>
    <mergeCell ref="D81:E81"/>
    <mergeCell ref="B159:B160"/>
    <mergeCell ref="C159:C160"/>
    <mergeCell ref="D159:E159"/>
    <mergeCell ref="B165:E165"/>
    <mergeCell ref="C170:D170"/>
    <mergeCell ref="B177:E177"/>
    <mergeCell ref="B158:E158"/>
    <mergeCell ref="B88:E88"/>
    <mergeCell ref="B100:E100"/>
    <mergeCell ref="B101:B102"/>
    <mergeCell ref="C101:C102"/>
    <mergeCell ref="F88:H88"/>
    <mergeCell ref="B94:E94"/>
    <mergeCell ref="F94:H94"/>
    <mergeCell ref="B51:C51"/>
    <mergeCell ref="D51:E51"/>
    <mergeCell ref="B56:E56"/>
    <mergeCell ref="F56:H56"/>
    <mergeCell ref="B62:E62"/>
    <mergeCell ref="B63:B64"/>
    <mergeCell ref="C63:C64"/>
    <mergeCell ref="D63:E63"/>
    <mergeCell ref="C68:D68"/>
    <mergeCell ref="B69:E69"/>
    <mergeCell ref="F69:H69"/>
    <mergeCell ref="B75:E75"/>
    <mergeCell ref="F75:H75"/>
    <mergeCell ref="F50:H50"/>
    <mergeCell ref="C31:D31"/>
    <mergeCell ref="B32:E32"/>
    <mergeCell ref="F32:H32"/>
    <mergeCell ref="B33:C33"/>
    <mergeCell ref="D33:E33"/>
    <mergeCell ref="B38:E38"/>
    <mergeCell ref="F38:H38"/>
    <mergeCell ref="B43:E43"/>
    <mergeCell ref="B44:B45"/>
    <mergeCell ref="C44:C45"/>
    <mergeCell ref="D44:E44"/>
    <mergeCell ref="B50:E50"/>
    <mergeCell ref="B19:C19"/>
    <mergeCell ref="D19:E19"/>
    <mergeCell ref="B23:E23"/>
    <mergeCell ref="B24:B25"/>
    <mergeCell ref="C24:C25"/>
    <mergeCell ref="D24:E24"/>
    <mergeCell ref="B12:E12"/>
    <mergeCell ref="F12:H12"/>
    <mergeCell ref="B13:C13"/>
    <mergeCell ref="D13:E13"/>
    <mergeCell ref="B18:E18"/>
    <mergeCell ref="F18:H18"/>
    <mergeCell ref="B1:H1"/>
    <mergeCell ref="C2:D2"/>
    <mergeCell ref="B3:E3"/>
    <mergeCell ref="B4:B5"/>
    <mergeCell ref="C4:C5"/>
    <mergeCell ref="D4:E4"/>
  </mergeCells>
  <printOptions horizontalCentered="1"/>
  <pageMargins left="0.70866141732283472" right="0.70866141732283472" top="0.74803149606299213" bottom="0.74803149606299213" header="0.31496062992125984" footer="0.31496062992125984"/>
  <pageSetup scale="85" orientation="portrait" r:id="rId1"/>
  <rowBreaks count="2" manualBreakCount="2">
    <brk id="41" max="16383" man="1"/>
    <brk id="13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sheetPr>
  <dimension ref="A2:K22"/>
  <sheetViews>
    <sheetView view="pageBreakPreview" zoomScale="175" zoomScaleNormal="100" zoomScaleSheetLayoutView="175" workbookViewId="0">
      <selection activeCell="C10" sqref="C10"/>
    </sheetView>
  </sheetViews>
  <sheetFormatPr baseColWidth="10" defaultRowHeight="12.75" x14ac:dyDescent="0.2"/>
  <cols>
    <col min="1" max="1" width="2.140625" style="154" customWidth="1"/>
    <col min="2" max="2" width="15.5703125" style="40" customWidth="1"/>
    <col min="3" max="16384" width="11.42578125" style="40"/>
  </cols>
  <sheetData>
    <row r="2" spans="1:11" s="43" customFormat="1" x14ac:dyDescent="0.2">
      <c r="A2" s="153"/>
      <c r="B2" s="647" t="s">
        <v>46</v>
      </c>
      <c r="C2" s="647"/>
      <c r="D2" s="647"/>
      <c r="E2" s="647"/>
      <c r="F2" s="647"/>
      <c r="G2" s="647"/>
      <c r="H2" s="647"/>
      <c r="I2" s="647"/>
      <c r="J2"/>
      <c r="K2"/>
    </row>
    <row r="3" spans="1:11" s="43" customFormat="1" x14ac:dyDescent="0.2">
      <c r="A3" s="153"/>
      <c r="B3" s="42"/>
      <c r="C3" s="42"/>
      <c r="D3" s="63"/>
      <c r="E3"/>
      <c r="F3"/>
      <c r="G3"/>
      <c r="H3"/>
      <c r="I3"/>
      <c r="J3"/>
      <c r="K3"/>
    </row>
    <row r="4" spans="1:11" s="43" customFormat="1" x14ac:dyDescent="0.2">
      <c r="A4" s="153"/>
      <c r="B4" s="647" t="s">
        <v>39</v>
      </c>
      <c r="C4" s="647"/>
      <c r="D4" s="647"/>
      <c r="E4" s="647"/>
      <c r="F4" s="647"/>
      <c r="G4" s="647"/>
      <c r="H4" s="647"/>
      <c r="I4" s="647"/>
      <c r="J4"/>
      <c r="K4"/>
    </row>
    <row r="5" spans="1:11" s="43" customFormat="1" ht="12" customHeight="1" x14ac:dyDescent="0.2">
      <c r="A5" s="153"/>
      <c r="B5" s="42"/>
      <c r="C5" s="42"/>
      <c r="D5" s="63"/>
      <c r="E5"/>
      <c r="F5"/>
      <c r="G5"/>
      <c r="H5"/>
      <c r="I5"/>
      <c r="J5"/>
      <c r="K5"/>
    </row>
    <row r="6" spans="1:11" ht="12.75" customHeight="1" x14ac:dyDescent="0.2">
      <c r="B6" s="808" t="s">
        <v>79</v>
      </c>
      <c r="C6" s="808"/>
      <c r="D6" s="808"/>
      <c r="E6" s="808"/>
      <c r="F6" s="808"/>
      <c r="G6" s="808"/>
      <c r="H6" s="808"/>
      <c r="I6" s="808"/>
      <c r="J6"/>
      <c r="K6"/>
    </row>
    <row r="7" spans="1:11" ht="13.5" thickBot="1" x14ac:dyDescent="0.25">
      <c r="B7" s="41"/>
      <c r="C7" s="41"/>
      <c r="D7" s="63"/>
      <c r="E7"/>
      <c r="F7"/>
      <c r="G7"/>
      <c r="H7"/>
      <c r="I7"/>
      <c r="J7"/>
      <c r="K7"/>
    </row>
    <row r="8" spans="1:11" ht="13.5" thickBot="1" x14ac:dyDescent="0.25">
      <c r="B8" s="806" t="s">
        <v>40</v>
      </c>
      <c r="C8" s="809" t="s">
        <v>41</v>
      </c>
      <c r="D8" s="810"/>
      <c r="E8" s="811"/>
      <c r="F8" s="814" t="s">
        <v>42</v>
      </c>
      <c r="G8" s="810"/>
      <c r="H8" s="811"/>
      <c r="I8" s="812" t="s">
        <v>33</v>
      </c>
    </row>
    <row r="9" spans="1:11" ht="13.5" thickBot="1" x14ac:dyDescent="0.25">
      <c r="B9" s="807"/>
      <c r="C9" s="207" t="s">
        <v>43</v>
      </c>
      <c r="D9" s="207" t="s">
        <v>44</v>
      </c>
      <c r="E9" s="207" t="s">
        <v>33</v>
      </c>
      <c r="F9" s="207" t="s">
        <v>45</v>
      </c>
      <c r="G9" s="207" t="s">
        <v>44</v>
      </c>
      <c r="H9" s="207" t="s">
        <v>33</v>
      </c>
      <c r="I9" s="813"/>
    </row>
    <row r="10" spans="1:11" ht="21.75" customHeight="1" thickBot="1" x14ac:dyDescent="0.25">
      <c r="B10" s="197" t="s">
        <v>80</v>
      </c>
      <c r="C10" s="198">
        <v>2</v>
      </c>
      <c r="D10" s="198">
        <v>1288</v>
      </c>
      <c r="E10" s="152">
        <v>2576</v>
      </c>
      <c r="F10" s="198">
        <v>10</v>
      </c>
      <c r="G10" s="198">
        <v>371</v>
      </c>
      <c r="H10" s="152">
        <v>3710</v>
      </c>
      <c r="I10" s="152">
        <v>6286</v>
      </c>
    </row>
    <row r="11" spans="1:11" ht="21.75" customHeight="1" thickBot="1" x14ac:dyDescent="0.25">
      <c r="B11" s="197" t="s">
        <v>81</v>
      </c>
      <c r="C11" s="198">
        <v>2</v>
      </c>
      <c r="D11" s="198">
        <v>608</v>
      </c>
      <c r="E11" s="152">
        <v>1216</v>
      </c>
      <c r="F11" s="198">
        <v>10</v>
      </c>
      <c r="G11" s="198">
        <v>371</v>
      </c>
      <c r="H11" s="152">
        <v>3710</v>
      </c>
      <c r="I11" s="152">
        <v>4926</v>
      </c>
    </row>
    <row r="12" spans="1:11" ht="21.75" customHeight="1" thickBot="1" x14ac:dyDescent="0.25">
      <c r="B12" s="197" t="s">
        <v>82</v>
      </c>
      <c r="C12" s="198">
        <v>2</v>
      </c>
      <c r="D12" s="198">
        <v>1260</v>
      </c>
      <c r="E12" s="152">
        <v>2520</v>
      </c>
      <c r="F12" s="198">
        <v>5</v>
      </c>
      <c r="G12" s="198">
        <v>371</v>
      </c>
      <c r="H12" s="152">
        <v>1855</v>
      </c>
      <c r="I12" s="152">
        <v>4375</v>
      </c>
    </row>
    <row r="13" spans="1:11" ht="21.75" customHeight="1" thickBot="1" x14ac:dyDescent="0.25">
      <c r="B13" s="197" t="s">
        <v>83</v>
      </c>
      <c r="C13" s="198">
        <v>2</v>
      </c>
      <c r="D13" s="198">
        <v>972</v>
      </c>
      <c r="E13" s="152">
        <v>1944</v>
      </c>
      <c r="F13" s="198">
        <v>5</v>
      </c>
      <c r="G13" s="198">
        <v>371</v>
      </c>
      <c r="H13" s="152">
        <v>1855</v>
      </c>
      <c r="I13" s="152">
        <v>3799</v>
      </c>
    </row>
    <row r="14" spans="1:11" ht="21.75" customHeight="1" thickBot="1" x14ac:dyDescent="0.25">
      <c r="B14" s="197" t="s">
        <v>84</v>
      </c>
      <c r="C14" s="198">
        <v>2</v>
      </c>
      <c r="D14" s="198">
        <v>886</v>
      </c>
      <c r="E14" s="152">
        <v>1772</v>
      </c>
      <c r="F14" s="198">
        <v>10</v>
      </c>
      <c r="G14" s="198">
        <v>371</v>
      </c>
      <c r="H14" s="152">
        <v>3710</v>
      </c>
      <c r="I14" s="152">
        <v>5482</v>
      </c>
    </row>
    <row r="15" spans="1:11" ht="21.75" customHeight="1" thickBot="1" x14ac:dyDescent="0.25">
      <c r="B15" s="197" t="s">
        <v>85</v>
      </c>
      <c r="C15" s="198">
        <v>2</v>
      </c>
      <c r="D15" s="198">
        <v>140</v>
      </c>
      <c r="E15" s="199">
        <v>280</v>
      </c>
      <c r="F15" s="198">
        <v>5</v>
      </c>
      <c r="G15" s="198">
        <v>371</v>
      </c>
      <c r="H15" s="152">
        <v>1855</v>
      </c>
      <c r="I15" s="152">
        <v>2135</v>
      </c>
    </row>
    <row r="16" spans="1:11" ht="21.75" customHeight="1" thickBot="1" x14ac:dyDescent="0.25">
      <c r="B16" s="197" t="s">
        <v>86</v>
      </c>
      <c r="C16" s="198">
        <v>2</v>
      </c>
      <c r="D16" s="198">
        <v>946</v>
      </c>
      <c r="E16" s="152">
        <v>1892</v>
      </c>
      <c r="F16" s="198">
        <v>5</v>
      </c>
      <c r="G16" s="198">
        <v>371</v>
      </c>
      <c r="H16" s="152">
        <v>1855</v>
      </c>
      <c r="I16" s="152">
        <v>3747</v>
      </c>
    </row>
    <row r="17" spans="1:11" ht="21.75" customHeight="1" thickBot="1" x14ac:dyDescent="0.25">
      <c r="B17" s="197" t="s">
        <v>87</v>
      </c>
      <c r="C17" s="198">
        <v>2</v>
      </c>
      <c r="D17" s="198">
        <v>1445</v>
      </c>
      <c r="E17" s="152">
        <v>2890</v>
      </c>
      <c r="F17" s="198">
        <v>5</v>
      </c>
      <c r="G17" s="198">
        <v>371</v>
      </c>
      <c r="H17" s="152">
        <v>1855</v>
      </c>
      <c r="I17" s="152">
        <v>4745</v>
      </c>
    </row>
    <row r="18" spans="1:11" ht="21.75" customHeight="1" thickBot="1" x14ac:dyDescent="0.25">
      <c r="B18" s="197" t="s">
        <v>88</v>
      </c>
      <c r="C18" s="198"/>
      <c r="D18" s="198"/>
      <c r="E18" s="199"/>
      <c r="F18" s="198">
        <v>10</v>
      </c>
      <c r="G18" s="198">
        <v>222</v>
      </c>
      <c r="H18" s="152">
        <v>2220</v>
      </c>
      <c r="I18" s="152">
        <v>2220</v>
      </c>
    </row>
    <row r="19" spans="1:11" ht="13.5" thickBot="1" x14ac:dyDescent="0.25">
      <c r="A19" s="154">
        <v>1</v>
      </c>
      <c r="B19" s="206" t="s">
        <v>33</v>
      </c>
      <c r="C19" s="207">
        <v>16</v>
      </c>
      <c r="D19" s="207"/>
      <c r="E19" s="262">
        <v>15090</v>
      </c>
      <c r="F19" s="207">
        <v>65</v>
      </c>
      <c r="G19" s="263"/>
      <c r="H19" s="262">
        <v>22625</v>
      </c>
      <c r="I19" s="262">
        <v>37715</v>
      </c>
    </row>
    <row r="20" spans="1:11" x14ac:dyDescent="0.2">
      <c r="D20" s="205"/>
      <c r="E20"/>
      <c r="F20"/>
      <c r="G20"/>
      <c r="H20"/>
      <c r="I20"/>
      <c r="J20"/>
      <c r="K20"/>
    </row>
    <row r="21" spans="1:11" x14ac:dyDescent="0.2">
      <c r="D21" s="205"/>
      <c r="E21"/>
      <c r="F21"/>
      <c r="G21"/>
      <c r="H21"/>
      <c r="I21"/>
      <c r="J21"/>
      <c r="K21"/>
    </row>
    <row r="22" spans="1:11" ht="15.75" x14ac:dyDescent="0.25">
      <c r="D22" s="80"/>
      <c r="E22"/>
      <c r="F22"/>
      <c r="G22"/>
      <c r="H22"/>
      <c r="I22"/>
      <c r="J22"/>
      <c r="K22"/>
    </row>
  </sheetData>
  <mergeCells count="7">
    <mergeCell ref="B8:B9"/>
    <mergeCell ref="B2:I2"/>
    <mergeCell ref="B6:I6"/>
    <mergeCell ref="C8:E8"/>
    <mergeCell ref="B4:I4"/>
    <mergeCell ref="I8:I9"/>
    <mergeCell ref="F8:H8"/>
  </mergeCells>
  <printOptions horizontalCentered="1"/>
  <pageMargins left="0.98425196850393704" right="0.39370078740157483" top="0.9055118110236221" bottom="0.98425196850393704" header="0" footer="0"/>
  <pageSetup scale="8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topLeftCell="A28" workbookViewId="0">
      <selection activeCell="A20" sqref="A20"/>
    </sheetView>
  </sheetViews>
  <sheetFormatPr baseColWidth="10" defaultRowHeight="12.75" x14ac:dyDescent="0.2"/>
  <cols>
    <col min="1" max="1" width="54.5703125" customWidth="1"/>
    <col min="8" max="8" width="14.5703125" customWidth="1"/>
  </cols>
  <sheetData>
    <row r="1" spans="1:9" x14ac:dyDescent="0.2">
      <c r="A1" s="31" t="s">
        <v>22</v>
      </c>
      <c r="B1" s="31"/>
      <c r="C1" s="30"/>
      <c r="D1" s="30"/>
      <c r="E1" s="30"/>
      <c r="F1" s="100"/>
      <c r="G1" s="30"/>
      <c r="H1" s="111"/>
    </row>
    <row r="2" spans="1:9" x14ac:dyDescent="0.2">
      <c r="A2" s="31" t="s">
        <v>11</v>
      </c>
      <c r="B2" s="31"/>
      <c r="C2" s="30"/>
      <c r="D2" s="30"/>
      <c r="E2" s="30"/>
      <c r="F2" s="100"/>
      <c r="G2" s="30"/>
      <c r="H2" s="111"/>
    </row>
    <row r="3" spans="1:9" x14ac:dyDescent="0.2">
      <c r="A3" s="60"/>
      <c r="B3" s="60"/>
      <c r="C3" s="30"/>
      <c r="D3" s="30"/>
      <c r="E3" s="30"/>
      <c r="F3" s="100"/>
      <c r="G3" s="30"/>
      <c r="H3" s="281" t="s">
        <v>9</v>
      </c>
    </row>
    <row r="4" spans="1:9" x14ac:dyDescent="0.2">
      <c r="A4" s="647" t="s">
        <v>0</v>
      </c>
      <c r="B4" s="647"/>
      <c r="C4" s="647"/>
      <c r="D4" s="647"/>
      <c r="E4" s="647"/>
      <c r="F4" s="647"/>
      <c r="G4" s="647"/>
      <c r="H4" s="647"/>
    </row>
    <row r="5" spans="1:9" x14ac:dyDescent="0.2">
      <c r="A5" s="661" t="s">
        <v>162</v>
      </c>
      <c r="B5" s="661"/>
      <c r="C5" s="661"/>
      <c r="D5" s="661"/>
      <c r="E5" s="661"/>
      <c r="F5" s="661"/>
      <c r="G5" s="661"/>
      <c r="H5" s="661"/>
    </row>
    <row r="6" spans="1:9" ht="25.5" customHeight="1" x14ac:dyDescent="0.2">
      <c r="A6" s="662" t="s">
        <v>167</v>
      </c>
      <c r="B6" s="289" t="s">
        <v>137</v>
      </c>
      <c r="C6" s="662" t="s">
        <v>139</v>
      </c>
      <c r="D6" s="662"/>
      <c r="E6" s="663" t="s">
        <v>8</v>
      </c>
      <c r="F6" s="663" t="s">
        <v>10</v>
      </c>
      <c r="G6" s="665" t="s">
        <v>2</v>
      </c>
      <c r="H6" s="667" t="s">
        <v>69</v>
      </c>
      <c r="I6" s="668"/>
    </row>
    <row r="7" spans="1:9" ht="12.75" customHeight="1" x14ac:dyDescent="0.2">
      <c r="A7" s="662"/>
      <c r="B7" s="289" t="s">
        <v>138</v>
      </c>
      <c r="C7" s="289" t="s">
        <v>140</v>
      </c>
      <c r="D7" s="289" t="s">
        <v>141</v>
      </c>
      <c r="E7" s="664"/>
      <c r="F7" s="664"/>
      <c r="G7" s="666"/>
      <c r="H7" s="290" t="s">
        <v>3</v>
      </c>
      <c r="I7" s="290" t="s">
        <v>4</v>
      </c>
    </row>
    <row r="8" spans="1:9" x14ac:dyDescent="0.2">
      <c r="A8" s="291" t="s">
        <v>142</v>
      </c>
      <c r="B8" s="282"/>
      <c r="C8" s="283">
        <v>42737</v>
      </c>
      <c r="D8" s="283">
        <v>42794</v>
      </c>
      <c r="E8" s="283"/>
      <c r="F8" s="292"/>
      <c r="G8" s="292"/>
      <c r="H8" s="292"/>
      <c r="I8" s="292"/>
    </row>
    <row r="9" spans="1:9" ht="26.25" customHeight="1" x14ac:dyDescent="0.2">
      <c r="A9" s="293" t="s">
        <v>98</v>
      </c>
      <c r="B9" s="288">
        <v>264</v>
      </c>
      <c r="C9" s="283"/>
      <c r="D9" s="283"/>
      <c r="E9" s="282" t="s">
        <v>89</v>
      </c>
      <c r="F9" s="282" t="s">
        <v>99</v>
      </c>
      <c r="G9" s="283">
        <v>42790</v>
      </c>
      <c r="H9" s="284" t="s">
        <v>100</v>
      </c>
      <c r="I9" s="283">
        <v>42790</v>
      </c>
    </row>
    <row r="10" spans="1:9" ht="13.5" customHeight="1" x14ac:dyDescent="0.2">
      <c r="A10" s="291" t="s">
        <v>143</v>
      </c>
      <c r="B10" s="282"/>
      <c r="C10" s="294"/>
      <c r="D10" s="294"/>
      <c r="E10" s="282"/>
      <c r="F10" s="282"/>
      <c r="G10" s="283"/>
      <c r="H10" s="284"/>
      <c r="I10" s="283"/>
    </row>
    <row r="11" spans="1:9" ht="34.5" customHeight="1" x14ac:dyDescent="0.2">
      <c r="A11" s="296" t="s">
        <v>109</v>
      </c>
      <c r="B11" s="288">
        <v>13</v>
      </c>
      <c r="C11" s="283">
        <v>42826</v>
      </c>
      <c r="D11" s="283">
        <v>42916</v>
      </c>
      <c r="E11" s="282" t="s">
        <v>89</v>
      </c>
      <c r="F11" s="282" t="s">
        <v>110</v>
      </c>
      <c r="G11" s="283">
        <v>42916</v>
      </c>
      <c r="H11" s="284" t="s">
        <v>111</v>
      </c>
      <c r="I11" s="283">
        <v>42916</v>
      </c>
    </row>
    <row r="12" spans="1:9" ht="22.5" x14ac:dyDescent="0.2">
      <c r="A12" s="296" t="s">
        <v>144</v>
      </c>
      <c r="B12" s="282">
        <v>23</v>
      </c>
      <c r="C12" s="283">
        <v>42948</v>
      </c>
      <c r="D12" s="283">
        <v>43039</v>
      </c>
      <c r="E12" s="292"/>
      <c r="F12" s="292"/>
      <c r="G12" s="297"/>
      <c r="H12" s="292"/>
      <c r="I12" s="298"/>
    </row>
    <row r="13" spans="1:9" x14ac:dyDescent="0.2">
      <c r="A13" s="291" t="s">
        <v>145</v>
      </c>
      <c r="B13" s="282"/>
      <c r="C13" s="282"/>
      <c r="D13" s="282"/>
      <c r="E13" s="282"/>
      <c r="F13" s="282"/>
      <c r="G13" s="283"/>
      <c r="H13" s="284"/>
      <c r="I13" s="283"/>
    </row>
    <row r="14" spans="1:9" ht="22.5" x14ac:dyDescent="0.2">
      <c r="A14" s="296" t="s">
        <v>146</v>
      </c>
      <c r="B14" s="282">
        <v>23</v>
      </c>
      <c r="C14" s="283">
        <v>42826</v>
      </c>
      <c r="D14" s="283">
        <v>42947</v>
      </c>
      <c r="E14" s="282"/>
      <c r="F14" s="282"/>
      <c r="G14" s="283"/>
      <c r="H14" s="284"/>
      <c r="I14" s="283"/>
    </row>
    <row r="15" spans="1:9" ht="22.5" x14ac:dyDescent="0.2">
      <c r="A15" s="296" t="s">
        <v>147</v>
      </c>
      <c r="B15" s="282">
        <v>80</v>
      </c>
      <c r="C15" s="283">
        <v>42948</v>
      </c>
      <c r="D15" s="283">
        <v>43069</v>
      </c>
      <c r="E15" s="299"/>
      <c r="F15" s="299"/>
      <c r="G15" s="300"/>
      <c r="H15" s="299"/>
      <c r="I15" s="301"/>
    </row>
    <row r="16" spans="1:9" ht="22.5" x14ac:dyDescent="0.2">
      <c r="A16" s="296" t="s">
        <v>148</v>
      </c>
      <c r="B16" s="282">
        <v>80</v>
      </c>
      <c r="C16" s="283">
        <v>42826</v>
      </c>
      <c r="D16" s="283">
        <v>42947</v>
      </c>
      <c r="E16" s="282"/>
      <c r="F16" s="282"/>
      <c r="G16" s="283"/>
      <c r="H16" s="284"/>
      <c r="I16" s="283"/>
    </row>
    <row r="17" spans="1:9" x14ac:dyDescent="0.2">
      <c r="A17" s="291" t="s">
        <v>149</v>
      </c>
      <c r="B17" s="282"/>
      <c r="C17" s="282"/>
      <c r="D17" s="282"/>
      <c r="E17" s="285"/>
      <c r="F17" s="285"/>
      <c r="G17" s="286"/>
      <c r="H17" s="285"/>
      <c r="I17" s="287"/>
    </row>
    <row r="18" spans="1:9" ht="34.5" x14ac:dyDescent="0.2">
      <c r="A18" s="302" t="s">
        <v>120</v>
      </c>
      <c r="B18" s="288">
        <v>25</v>
      </c>
      <c r="C18" s="283">
        <v>42948</v>
      </c>
      <c r="D18" s="283">
        <v>42978</v>
      </c>
      <c r="E18" s="282" t="s">
        <v>89</v>
      </c>
      <c r="F18" s="282" t="s">
        <v>170</v>
      </c>
      <c r="G18" s="283" t="s">
        <v>121</v>
      </c>
      <c r="H18" s="284" t="s">
        <v>122</v>
      </c>
      <c r="I18" s="283">
        <v>42906</v>
      </c>
    </row>
    <row r="19" spans="1:9" ht="22.5" x14ac:dyDescent="0.2">
      <c r="A19" s="296" t="s">
        <v>150</v>
      </c>
      <c r="B19" s="282">
        <v>30</v>
      </c>
      <c r="C19" s="283">
        <v>42948</v>
      </c>
      <c r="D19" s="283">
        <v>43007</v>
      </c>
      <c r="E19" s="282"/>
      <c r="F19" s="282"/>
      <c r="G19" s="283"/>
      <c r="H19" s="284"/>
      <c r="I19" s="283"/>
    </row>
    <row r="20" spans="1:9" ht="45" x14ac:dyDescent="0.2">
      <c r="A20" s="303" t="s">
        <v>126</v>
      </c>
      <c r="B20" s="288">
        <v>36</v>
      </c>
      <c r="C20" s="283">
        <v>42948</v>
      </c>
      <c r="D20" s="283">
        <v>42978</v>
      </c>
      <c r="E20" s="282" t="s">
        <v>89</v>
      </c>
      <c r="F20" s="282" t="s">
        <v>127</v>
      </c>
      <c r="G20" s="283" t="s">
        <v>169</v>
      </c>
      <c r="H20" s="284" t="s">
        <v>128</v>
      </c>
      <c r="I20" s="283">
        <v>42916</v>
      </c>
    </row>
    <row r="21" spans="1:9" ht="33.75" x14ac:dyDescent="0.2">
      <c r="A21" s="304" t="s">
        <v>151</v>
      </c>
      <c r="B21" s="282">
        <v>20</v>
      </c>
      <c r="C21" s="283">
        <v>42979</v>
      </c>
      <c r="D21" s="283">
        <v>43007</v>
      </c>
      <c r="E21" s="282"/>
      <c r="F21" s="282"/>
      <c r="G21" s="283"/>
      <c r="H21" s="284"/>
      <c r="I21" s="283"/>
    </row>
    <row r="22" spans="1:9" ht="33.75" x14ac:dyDescent="0.2">
      <c r="A22" s="304" t="s">
        <v>152</v>
      </c>
      <c r="B22" s="282">
        <v>20</v>
      </c>
      <c r="C22" s="283">
        <v>42979</v>
      </c>
      <c r="D22" s="283">
        <v>43007</v>
      </c>
      <c r="E22" s="285"/>
      <c r="F22" s="285"/>
      <c r="G22" s="286"/>
      <c r="H22" s="285"/>
      <c r="I22" s="287"/>
    </row>
    <row r="23" spans="1:9" ht="33.75" x14ac:dyDescent="0.2">
      <c r="A23" s="305" t="s">
        <v>153</v>
      </c>
      <c r="B23" s="282">
        <v>20</v>
      </c>
      <c r="C23" s="283">
        <v>43010</v>
      </c>
      <c r="D23" s="283">
        <v>43039</v>
      </c>
      <c r="E23" s="292"/>
      <c r="F23" s="292"/>
      <c r="G23" s="292"/>
      <c r="H23" s="292"/>
      <c r="I23" s="292"/>
    </row>
    <row r="24" spans="1:9" ht="21.75" customHeight="1" x14ac:dyDescent="0.2">
      <c r="A24" s="303" t="s">
        <v>154</v>
      </c>
      <c r="B24" s="282"/>
      <c r="C24" s="283"/>
      <c r="D24" s="283"/>
      <c r="E24" s="282"/>
      <c r="F24" s="284"/>
      <c r="G24" s="283"/>
      <c r="H24" s="284"/>
      <c r="I24" s="284"/>
    </row>
    <row r="25" spans="1:9" ht="33.75" x14ac:dyDescent="0.2">
      <c r="A25" s="304" t="s">
        <v>155</v>
      </c>
      <c r="B25" s="282">
        <v>20</v>
      </c>
      <c r="C25" s="283">
        <v>43040</v>
      </c>
      <c r="D25" s="283">
        <v>43069</v>
      </c>
      <c r="E25" s="282"/>
      <c r="F25" s="284"/>
      <c r="G25" s="283"/>
      <c r="H25" s="284"/>
      <c r="I25" s="284"/>
    </row>
    <row r="26" spans="1:9" ht="33.75" x14ac:dyDescent="0.2">
      <c r="A26" s="304" t="s">
        <v>156</v>
      </c>
      <c r="B26" s="282">
        <v>20</v>
      </c>
      <c r="C26" s="283">
        <v>43040</v>
      </c>
      <c r="D26" s="283">
        <v>43069</v>
      </c>
      <c r="E26" s="282"/>
      <c r="F26" s="284"/>
      <c r="G26" s="283"/>
      <c r="H26" s="284"/>
      <c r="I26" s="284"/>
    </row>
    <row r="27" spans="1:9" ht="56.25" x14ac:dyDescent="0.2">
      <c r="A27" s="304" t="s">
        <v>157</v>
      </c>
      <c r="B27" s="282">
        <v>20</v>
      </c>
      <c r="C27" s="283">
        <v>43040</v>
      </c>
      <c r="D27" s="283">
        <v>43069</v>
      </c>
      <c r="E27" s="282"/>
      <c r="F27" s="282"/>
      <c r="G27" s="283"/>
      <c r="H27" s="284"/>
      <c r="I27" s="284"/>
    </row>
    <row r="28" spans="1:9" ht="33.75" x14ac:dyDescent="0.2">
      <c r="A28" s="304" t="s">
        <v>158</v>
      </c>
      <c r="B28" s="282">
        <v>20</v>
      </c>
      <c r="C28" s="283">
        <v>43070</v>
      </c>
      <c r="D28" s="283">
        <v>43098</v>
      </c>
      <c r="E28" s="285"/>
      <c r="F28" s="285"/>
      <c r="G28" s="286"/>
      <c r="H28" s="285"/>
      <c r="I28" s="287"/>
    </row>
    <row r="29" spans="1:9" ht="33.75" x14ac:dyDescent="0.2">
      <c r="A29" s="304" t="s">
        <v>159</v>
      </c>
      <c r="B29" s="282">
        <v>20</v>
      </c>
      <c r="C29" s="283">
        <v>43070</v>
      </c>
      <c r="D29" s="283">
        <v>43070</v>
      </c>
      <c r="E29" s="282"/>
      <c r="F29" s="292"/>
      <c r="G29" s="292"/>
      <c r="H29" s="292"/>
      <c r="I29" s="292"/>
    </row>
    <row r="30" spans="1:9" x14ac:dyDescent="0.2">
      <c r="A30" s="306" t="s">
        <v>160</v>
      </c>
      <c r="B30" s="282">
        <v>200</v>
      </c>
      <c r="C30" s="283">
        <v>42737</v>
      </c>
      <c r="D30" s="283">
        <v>43098</v>
      </c>
      <c r="E30" s="282"/>
      <c r="F30" s="292"/>
      <c r="G30" s="292"/>
      <c r="H30" s="292"/>
      <c r="I30" s="292"/>
    </row>
    <row r="31" spans="1:9" ht="45" x14ac:dyDescent="0.2">
      <c r="A31" s="307" t="s">
        <v>101</v>
      </c>
      <c r="B31" s="288">
        <v>48</v>
      </c>
      <c r="C31" s="283"/>
      <c r="D31" s="283"/>
      <c r="E31" s="282" t="s">
        <v>89</v>
      </c>
      <c r="F31" s="282" t="s">
        <v>102</v>
      </c>
      <c r="G31" s="283" t="s">
        <v>103</v>
      </c>
      <c r="H31" s="284" t="s">
        <v>104</v>
      </c>
      <c r="I31" s="283">
        <v>42850</v>
      </c>
    </row>
    <row r="32" spans="1:9" ht="45" x14ac:dyDescent="0.2">
      <c r="A32" s="307" t="s">
        <v>166</v>
      </c>
      <c r="B32" s="288"/>
      <c r="C32" s="283"/>
      <c r="D32" s="283"/>
      <c r="E32" s="282"/>
      <c r="F32" s="282"/>
      <c r="G32" s="283"/>
      <c r="H32" s="284"/>
      <c r="I32" s="283"/>
    </row>
    <row r="33" spans="1:9" ht="25.5" x14ac:dyDescent="0.2">
      <c r="A33" s="308" t="s">
        <v>164</v>
      </c>
      <c r="B33" s="288"/>
      <c r="C33" s="283"/>
      <c r="D33" s="283"/>
      <c r="E33" s="282"/>
      <c r="F33" s="284"/>
      <c r="G33" s="284"/>
      <c r="H33" s="284"/>
      <c r="I33" s="284"/>
    </row>
    <row r="34" spans="1:9" x14ac:dyDescent="0.2">
      <c r="A34" s="308" t="s">
        <v>165</v>
      </c>
      <c r="B34" s="288"/>
      <c r="C34" s="283"/>
      <c r="D34" s="283"/>
      <c r="E34" s="282"/>
      <c r="F34" s="284"/>
      <c r="G34" s="284"/>
      <c r="H34" s="284"/>
      <c r="I34" s="284"/>
    </row>
    <row r="35" spans="1:9" x14ac:dyDescent="0.2">
      <c r="A35" s="306" t="s">
        <v>161</v>
      </c>
      <c r="B35" s="282">
        <v>358</v>
      </c>
      <c r="C35" s="283">
        <v>42737</v>
      </c>
      <c r="D35" s="283">
        <v>43098</v>
      </c>
      <c r="E35" s="283"/>
      <c r="F35" s="292"/>
      <c r="G35" s="292"/>
      <c r="H35" s="292"/>
      <c r="I35" s="292"/>
    </row>
    <row r="36" spans="1:9" ht="45.75" x14ac:dyDescent="0.2">
      <c r="A36" s="302" t="s">
        <v>116</v>
      </c>
      <c r="B36" s="288">
        <v>17</v>
      </c>
      <c r="C36" s="283"/>
      <c r="D36" s="283"/>
      <c r="E36" s="282" t="s">
        <v>89</v>
      </c>
      <c r="F36" s="282" t="s">
        <v>114</v>
      </c>
      <c r="G36" s="283">
        <v>42877</v>
      </c>
      <c r="H36" s="284" t="s">
        <v>115</v>
      </c>
      <c r="I36" s="283">
        <v>42878</v>
      </c>
    </row>
    <row r="37" spans="1:9" ht="45.75" x14ac:dyDescent="0.2">
      <c r="A37" s="309" t="s">
        <v>136</v>
      </c>
      <c r="B37" s="288">
        <v>26</v>
      </c>
      <c r="C37" s="283"/>
      <c r="D37" s="283"/>
      <c r="E37" s="283"/>
      <c r="F37" s="292"/>
      <c r="G37" s="292"/>
      <c r="H37" s="292"/>
      <c r="I37" s="292"/>
    </row>
    <row r="38" spans="1:9" ht="45" x14ac:dyDescent="0.2">
      <c r="A38" s="295" t="s">
        <v>163</v>
      </c>
      <c r="B38" s="288">
        <v>9</v>
      </c>
      <c r="C38" s="283"/>
      <c r="D38" s="283"/>
      <c r="E38" s="283"/>
      <c r="F38" s="292"/>
      <c r="G38" s="292"/>
      <c r="H38" s="292"/>
      <c r="I38" s="292"/>
    </row>
    <row r="39" spans="1:9" ht="56.25" x14ac:dyDescent="0.2">
      <c r="A39" s="303" t="s">
        <v>131</v>
      </c>
      <c r="B39" s="288">
        <v>59</v>
      </c>
      <c r="C39" s="283"/>
      <c r="D39" s="283"/>
      <c r="E39" s="282" t="s">
        <v>89</v>
      </c>
      <c r="F39" s="282" t="s">
        <v>132</v>
      </c>
      <c r="G39" s="283" t="s">
        <v>133</v>
      </c>
      <c r="H39" s="292"/>
      <c r="I39" s="292"/>
    </row>
    <row r="40" spans="1:9" ht="33.75" x14ac:dyDescent="0.2">
      <c r="A40" s="296" t="s">
        <v>123</v>
      </c>
      <c r="B40" s="288">
        <v>21</v>
      </c>
      <c r="C40" s="283"/>
      <c r="D40" s="283"/>
      <c r="E40" s="283"/>
      <c r="F40" s="282" t="s">
        <v>124</v>
      </c>
      <c r="G40" s="283" t="s">
        <v>121</v>
      </c>
      <c r="H40" s="284" t="s">
        <v>130</v>
      </c>
      <c r="I40" s="284" t="s">
        <v>130</v>
      </c>
    </row>
    <row r="41" spans="1:9" ht="45" x14ac:dyDescent="0.2">
      <c r="A41" s="296" t="s">
        <v>129</v>
      </c>
      <c r="B41" s="288">
        <v>94</v>
      </c>
      <c r="C41" s="283"/>
      <c r="D41" s="283"/>
      <c r="E41" s="283"/>
      <c r="F41" s="292"/>
      <c r="G41" s="292"/>
      <c r="H41" s="292"/>
      <c r="I41" s="292"/>
    </row>
    <row r="42" spans="1:9" ht="22.5" x14ac:dyDescent="0.2">
      <c r="A42" s="312" t="s">
        <v>134</v>
      </c>
      <c r="B42" s="82">
        <v>11</v>
      </c>
      <c r="C42" s="283"/>
      <c r="D42" s="283"/>
      <c r="E42" s="283"/>
      <c r="F42" s="292"/>
      <c r="G42" s="292"/>
      <c r="H42" s="292"/>
      <c r="I42" s="292"/>
    </row>
    <row r="43" spans="1:9" x14ac:dyDescent="0.2">
      <c r="A43" s="306" t="s">
        <v>168</v>
      </c>
      <c r="B43" s="288"/>
      <c r="C43" s="283"/>
      <c r="D43" s="283"/>
      <c r="E43" s="283"/>
      <c r="F43" s="292"/>
      <c r="G43" s="292"/>
      <c r="H43" s="292"/>
      <c r="I43" s="292"/>
    </row>
    <row r="44" spans="1:9" ht="45" x14ac:dyDescent="0.2">
      <c r="A44" s="307" t="s">
        <v>105</v>
      </c>
      <c r="B44" s="288">
        <v>3</v>
      </c>
      <c r="C44" s="283"/>
      <c r="D44" s="283"/>
      <c r="E44" s="282"/>
      <c r="F44" s="284" t="s">
        <v>130</v>
      </c>
      <c r="G44" s="284" t="s">
        <v>130</v>
      </c>
      <c r="H44" s="284" t="s">
        <v>130</v>
      </c>
      <c r="I44" s="284" t="s">
        <v>130</v>
      </c>
    </row>
    <row r="45" spans="1:9" ht="33.75" x14ac:dyDescent="0.2">
      <c r="A45" s="307" t="s">
        <v>106</v>
      </c>
      <c r="B45" s="288">
        <v>17</v>
      </c>
      <c r="C45" s="283"/>
      <c r="D45" s="283"/>
      <c r="E45" s="310"/>
      <c r="F45" s="310"/>
      <c r="G45" s="310"/>
      <c r="H45" s="284" t="s">
        <v>130</v>
      </c>
      <c r="I45" s="284" t="s">
        <v>130</v>
      </c>
    </row>
    <row r="46" spans="1:9" ht="33.75" x14ac:dyDescent="0.2">
      <c r="A46" s="307" t="s">
        <v>107</v>
      </c>
      <c r="B46" s="288">
        <v>7</v>
      </c>
      <c r="C46" s="283"/>
      <c r="D46" s="283"/>
      <c r="E46" s="285"/>
      <c r="F46" s="285"/>
      <c r="G46" s="286"/>
      <c r="H46" s="285"/>
      <c r="I46" s="287"/>
    </row>
    <row r="47" spans="1:9" ht="33.75" x14ac:dyDescent="0.2">
      <c r="A47" s="307" t="s">
        <v>118</v>
      </c>
      <c r="B47" s="288">
        <v>2</v>
      </c>
      <c r="C47" s="283"/>
      <c r="D47" s="283"/>
      <c r="E47" s="282"/>
      <c r="F47" s="284" t="s">
        <v>130</v>
      </c>
      <c r="G47" s="284" t="s">
        <v>130</v>
      </c>
      <c r="H47" s="284" t="s">
        <v>130</v>
      </c>
      <c r="I47" s="284" t="s">
        <v>130</v>
      </c>
    </row>
    <row r="48" spans="1:9" x14ac:dyDescent="0.2">
      <c r="A48" s="306" t="s">
        <v>33</v>
      </c>
      <c r="B48" s="311">
        <f>SUM(B9:B47)</f>
        <v>1606</v>
      </c>
      <c r="C48" s="294"/>
      <c r="D48" s="294"/>
      <c r="E48" s="294"/>
      <c r="F48" s="292"/>
      <c r="G48" s="292"/>
      <c r="H48" s="292"/>
      <c r="I48" s="292"/>
    </row>
    <row r="49" spans="1:9" x14ac:dyDescent="0.2">
      <c r="A49" s="151"/>
      <c r="B49" s="151"/>
      <c r="C49" s="151"/>
      <c r="D49" s="151"/>
      <c r="E49" s="151"/>
      <c r="F49" s="151"/>
      <c r="G49" s="151"/>
      <c r="H49" s="151"/>
      <c r="I49" s="151"/>
    </row>
  </sheetData>
  <mergeCells count="8">
    <mergeCell ref="A4:H4"/>
    <mergeCell ref="A5:H5"/>
    <mergeCell ref="A6:A7"/>
    <mergeCell ref="C6:D6"/>
    <mergeCell ref="E6:E7"/>
    <mergeCell ref="F6:F7"/>
    <mergeCell ref="G6:G7"/>
    <mergeCell ref="H6:I6"/>
  </mergeCells>
  <pageMargins left="0.51181102362204722" right="0.31496062992125984" top="0.55118110236220474" bottom="0.35433070866141736" header="0.31496062992125984" footer="0.31496062992125984"/>
  <pageSetup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P37"/>
  <sheetViews>
    <sheetView topLeftCell="A10" zoomScaleNormal="100" workbookViewId="0">
      <selection activeCell="F17" sqref="F17:G22"/>
    </sheetView>
  </sheetViews>
  <sheetFormatPr baseColWidth="10" defaultRowHeight="12.75" x14ac:dyDescent="0.2"/>
  <cols>
    <col min="1" max="1" width="8" customWidth="1"/>
    <col min="2" max="2" width="51.42578125" customWidth="1"/>
    <col min="3" max="3" width="25.7109375" customWidth="1"/>
    <col min="4" max="4" width="11.5703125" bestFit="1" customWidth="1"/>
    <col min="5" max="5" width="14.42578125" bestFit="1" customWidth="1"/>
    <col min="6" max="6" width="12.28515625" bestFit="1" customWidth="1"/>
    <col min="7" max="7" width="11.5703125" bestFit="1" customWidth="1"/>
    <col min="8" max="8" width="12.28515625" bestFit="1" customWidth="1"/>
    <col min="9" max="9" width="9.42578125" style="147" customWidth="1"/>
    <col min="11" max="11" width="12.28515625" bestFit="1" customWidth="1"/>
    <col min="12" max="12" width="21" customWidth="1"/>
    <col min="13" max="14" width="30.5703125" customWidth="1"/>
    <col min="16" max="16" width="14.5703125" customWidth="1"/>
  </cols>
  <sheetData>
    <row r="1" spans="1:16" ht="13.5" thickBot="1" x14ac:dyDescent="0.25">
      <c r="A1" s="123"/>
      <c r="B1" s="124"/>
      <c r="C1" s="124"/>
      <c r="D1" s="674" t="s">
        <v>12</v>
      </c>
      <c r="E1" s="675"/>
      <c r="F1" s="676" t="s">
        <v>13</v>
      </c>
      <c r="G1" s="676"/>
      <c r="H1" s="677" t="s">
        <v>42</v>
      </c>
      <c r="I1" s="678"/>
      <c r="J1" s="133"/>
      <c r="K1" s="133"/>
      <c r="L1" s="133"/>
      <c r="M1" s="133"/>
      <c r="N1" s="133"/>
      <c r="O1" s="133"/>
      <c r="P1" s="134"/>
    </row>
    <row r="2" spans="1:16" x14ac:dyDescent="0.2">
      <c r="A2" s="123"/>
      <c r="B2" s="124"/>
      <c r="C2" s="124"/>
      <c r="D2" s="670" t="s">
        <v>31</v>
      </c>
      <c r="E2" s="128"/>
      <c r="F2" s="672" t="s">
        <v>31</v>
      </c>
      <c r="G2" s="130"/>
      <c r="H2" s="148"/>
      <c r="I2" s="260"/>
      <c r="J2" s="132"/>
      <c r="K2" s="132"/>
      <c r="L2" s="132"/>
      <c r="M2" s="132"/>
      <c r="N2" s="132"/>
      <c r="O2" s="132"/>
      <c r="P2" s="135"/>
    </row>
    <row r="3" spans="1:16" ht="51.75" thickBot="1" x14ac:dyDescent="0.25">
      <c r="A3" s="125" t="s">
        <v>37</v>
      </c>
      <c r="B3" s="126" t="s">
        <v>53</v>
      </c>
      <c r="C3" s="127" t="s">
        <v>38</v>
      </c>
      <c r="D3" s="671"/>
      <c r="E3" s="119" t="s">
        <v>33</v>
      </c>
      <c r="F3" s="673"/>
      <c r="G3" s="131" t="s">
        <v>33</v>
      </c>
      <c r="H3" s="149" t="s">
        <v>95</v>
      </c>
      <c r="I3" s="261" t="s">
        <v>13</v>
      </c>
      <c r="J3" s="136"/>
      <c r="K3" s="136"/>
      <c r="L3" s="136"/>
      <c r="M3" s="669" t="s">
        <v>52</v>
      </c>
      <c r="N3" s="669"/>
      <c r="O3" s="136"/>
      <c r="P3" s="137" t="s">
        <v>55</v>
      </c>
    </row>
    <row r="4" spans="1:16" ht="49.5" customHeight="1" x14ac:dyDescent="0.2">
      <c r="A4" s="70">
        <v>1</v>
      </c>
      <c r="B4" s="143" t="str">
        <f>VLOOKUP(A4,anexo1!A10:H28,2,FALSE)</f>
        <v>Auditoria sobre la Confiabilidad a los Registros Estados y Financieros al 31 de diciembre de 2016</v>
      </c>
      <c r="C4" s="71" t="s">
        <v>68</v>
      </c>
      <c r="D4" s="144" t="e">
        <f>VLOOKUP($A4,'anexo3 DATOS'!$B5:$D$25,2,FALSE)</f>
        <v>#REF!</v>
      </c>
      <c r="E4" s="144" t="e">
        <f>VLOOKUP($A4,'anexo3 DATOS'!$B5:$D$25,3,FALSE)</f>
        <v>#REF!</v>
      </c>
      <c r="F4" s="145" t="e">
        <f>VLOOKUP($A4,'anexo3 DATOS'!$J$5:$L$25,2,FALSE)</f>
        <v>#REF!</v>
      </c>
      <c r="G4" s="145" t="e">
        <f>VLOOKUP($A4,'anexo3 DATOS'!$J$5:$L$25,3,FALSE)</f>
        <v>#REF!</v>
      </c>
      <c r="H4" s="150">
        <f>VLOOKUP(A4,'anexo7 (1.1)'!A19:I21,9,FALSE)</f>
        <v>37715</v>
      </c>
      <c r="I4" s="146" t="e">
        <f>VLOOKUP(A4,#REF!,14,FALSE)</f>
        <v>#REF!</v>
      </c>
      <c r="J4" s="44" t="e">
        <f>SUM(G4+I4)</f>
        <v>#REF!</v>
      </c>
      <c r="K4" s="44"/>
      <c r="L4" s="44"/>
      <c r="M4" t="e">
        <f>1/D4</f>
        <v>#REF!</v>
      </c>
      <c r="N4" t="e">
        <f>EXACT(M4,#REF!)</f>
        <v>#REF!</v>
      </c>
      <c r="P4" t="str">
        <f>UPPER(B4)</f>
        <v>AUDITORIA SOBRE LA CONFIABILIDAD A LOS REGISTROS ESTADOS Y FINANCIEROS AL 31 DE DICIEMBRE DE 2016</v>
      </c>
    </row>
    <row r="5" spans="1:16" ht="49.5" customHeight="1" x14ac:dyDescent="0.2">
      <c r="A5" s="70">
        <v>2</v>
      </c>
      <c r="B5" s="143" t="str">
        <f>VLOOKUP(A5,anexo1!A13:H34,2,FALSE)</f>
        <v>Evaluación del Sistema de Programación de Operaciones al 30 de junio de 2017</v>
      </c>
      <c r="C5" s="71" t="s">
        <v>67</v>
      </c>
      <c r="D5" s="144" t="e">
        <f>VLOOKUP($A5,'anexo3 DATOS'!$B6:$D$25,2,FALSE)</f>
        <v>#REF!</v>
      </c>
      <c r="E5" s="144" t="e">
        <f>VLOOKUP($A5,'anexo3 DATOS'!$B6:$D$25,3,FALSE)</f>
        <v>#REF!</v>
      </c>
      <c r="F5" s="145" t="e">
        <f>VLOOKUP($A5,'anexo3 DATOS'!$J$5:$L$25,2,FALSE)</f>
        <v>#REF!</v>
      </c>
      <c r="G5" s="145" t="e">
        <f>VLOOKUP($A5,'anexo3 DATOS'!$J$5:$L$25,3,FALSE)</f>
        <v>#REF!</v>
      </c>
      <c r="H5" s="150" t="e">
        <f>VLOOKUP(A5,'anexo7 (1.1)'!A20:I22,9,FALSE)</f>
        <v>#N/A</v>
      </c>
      <c r="I5" s="146" t="e">
        <f>VLOOKUP(A5,#REF!,14,FALSE)</f>
        <v>#REF!</v>
      </c>
      <c r="J5" s="44" t="e">
        <f t="shared" ref="J5:J21" si="0">SUM(G5+I5)</f>
        <v>#REF!</v>
      </c>
      <c r="K5" s="44"/>
      <c r="L5" s="44"/>
      <c r="M5" t="e">
        <f>1/D5</f>
        <v>#REF!</v>
      </c>
      <c r="N5" t="e">
        <f>EXACT(M5,#REF!)</f>
        <v>#REF!</v>
      </c>
      <c r="P5" t="str">
        <f t="shared" ref="P5:P22" si="1">UPPER(B5)</f>
        <v>EVALUACIÓN DEL SISTEMA DE PROGRAMACIÓN DE OPERACIONES AL 30 DE JUNIO DE 2017</v>
      </c>
    </row>
    <row r="6" spans="1:16" ht="49.5" customHeight="1" x14ac:dyDescent="0.2">
      <c r="A6" s="70">
        <v>3</v>
      </c>
      <c r="B6" s="143" t="str">
        <f>VLOOKUP(A6,anexo1!A14:H46,2,FALSE)</f>
        <v>Evaluación del Sistema de Presupuestos al 30 de junio de 2017</v>
      </c>
      <c r="C6" s="71" t="s">
        <v>72</v>
      </c>
      <c r="D6" s="144" t="e">
        <f>VLOOKUP($A6,'anexo3 DATOS'!$B7:$D$25,2,FALSE)</f>
        <v>#REF!</v>
      </c>
      <c r="E6" s="144" t="e">
        <f>VLOOKUP($A6,'anexo3 DATOS'!$B7:$D$25,3,FALSE)</f>
        <v>#REF!</v>
      </c>
      <c r="F6" s="145" t="e">
        <f>VLOOKUP($A6,'anexo3 DATOS'!$J$5:$L$25,2,FALSE)</f>
        <v>#REF!</v>
      </c>
      <c r="G6" s="145" t="e">
        <f>VLOOKUP($A6,'anexo3 DATOS'!$J$5:$L$25,3,FALSE)</f>
        <v>#REF!</v>
      </c>
      <c r="H6" s="150" t="e">
        <f>VLOOKUP(A6,'anexo7 (1.1)'!A21:I23,9,FALSE)</f>
        <v>#N/A</v>
      </c>
      <c r="I6" s="146" t="e">
        <f>VLOOKUP(A6,#REF!,14,FALSE)</f>
        <v>#REF!</v>
      </c>
      <c r="J6" s="44" t="e">
        <f t="shared" si="0"/>
        <v>#REF!</v>
      </c>
      <c r="K6" s="44"/>
      <c r="L6" s="44"/>
      <c r="M6" t="e">
        <f>1/D6</f>
        <v>#REF!</v>
      </c>
      <c r="N6" t="e">
        <f>EXACT(M6,#REF!)</f>
        <v>#REF!</v>
      </c>
      <c r="P6" t="str">
        <f t="shared" si="1"/>
        <v>EVALUACIÓN DEL SISTEMA DE PRESUPUESTOS AL 30 DE JUNIO DE 2017</v>
      </c>
    </row>
    <row r="7" spans="1:16" ht="49.5" customHeight="1" x14ac:dyDescent="0.2">
      <c r="A7" s="70">
        <v>4</v>
      </c>
      <c r="B7" s="143">
        <f>VLOOKUP(A7,anexo1!A15:H48,2,FALSE)</f>
        <v>0</v>
      </c>
      <c r="C7" s="71" t="s">
        <v>66</v>
      </c>
      <c r="D7" s="144" t="e">
        <f>VLOOKUP($A7,'anexo3 DATOS'!$B8:$D$25,2,FALSE)</f>
        <v>#REF!</v>
      </c>
      <c r="E7" s="144" t="e">
        <f>VLOOKUP($A7,'anexo3 DATOS'!$B8:$D$25,3,FALSE)</f>
        <v>#REF!</v>
      </c>
      <c r="F7" s="145" t="e">
        <f>VLOOKUP($A7,'anexo3 DATOS'!$J$5:$L$25,2,FALSE)</f>
        <v>#REF!</v>
      </c>
      <c r="G7" s="145" t="e">
        <f>VLOOKUP($A7,'anexo3 DATOS'!$J$5:$L$25,3,FALSE)</f>
        <v>#REF!</v>
      </c>
      <c r="H7" s="150" t="e">
        <f>VLOOKUP(A7,'anexo7 (1.1)'!A22:I24,9,FALSE)</f>
        <v>#N/A</v>
      </c>
      <c r="I7" s="146" t="e">
        <f>VLOOKUP(A7,#REF!,14,FALSE)</f>
        <v>#REF!</v>
      </c>
      <c r="J7" s="44" t="e">
        <f t="shared" si="0"/>
        <v>#REF!</v>
      </c>
      <c r="K7" s="44"/>
      <c r="L7" s="44"/>
      <c r="M7" t="e">
        <f t="shared" ref="M7:M18" si="2">1/D7</f>
        <v>#REF!</v>
      </c>
      <c r="N7" t="e">
        <f>EXACT(M7,#REF!)</f>
        <v>#REF!</v>
      </c>
      <c r="P7" t="str">
        <f t="shared" si="1"/>
        <v>0</v>
      </c>
    </row>
    <row r="8" spans="1:16" ht="49.5" customHeight="1" x14ac:dyDescent="0.2">
      <c r="A8" s="70">
        <v>5</v>
      </c>
      <c r="B8" s="143" t="str">
        <f>VLOOKUP(A8,anexo1!A16:H50,2,FALSE)</f>
        <v xml:space="preserve">Auditoria Especial - Informe Complementario al Informe Preliminar AI-005/10 RC (C2) Construcción Sistema de Agua Potable Toropalca (Cotagaita), por la empresa Constructora TÉCNICOS CONSTRUCTORES S.R.L. </v>
      </c>
      <c r="C8" s="71" t="s">
        <v>65</v>
      </c>
      <c r="D8" s="144" t="e">
        <f>VLOOKUP($A8,'anexo3 DATOS'!$B9:$D$25,2,FALSE)</f>
        <v>#REF!</v>
      </c>
      <c r="E8" s="144" t="e">
        <f>VLOOKUP($A8,'anexo3 DATOS'!$B9:$D$25,3,FALSE)</f>
        <v>#REF!</v>
      </c>
      <c r="F8" s="145" t="e">
        <f>VLOOKUP($A8,'anexo3 DATOS'!$J$5:$L$25,2,FALSE)</f>
        <v>#REF!</v>
      </c>
      <c r="G8" s="145" t="e">
        <f>VLOOKUP($A8,'anexo3 DATOS'!$J$5:$L$25,3,FALSE)</f>
        <v>#REF!</v>
      </c>
      <c r="H8" s="150" t="e">
        <f>VLOOKUP(A8,'anexo7 (1.1)'!A23:I25,9,FALSE)</f>
        <v>#N/A</v>
      </c>
      <c r="I8" s="146" t="e">
        <f>VLOOKUP(A8,#REF!,14,FALSE)</f>
        <v>#REF!</v>
      </c>
      <c r="J8" s="44" t="e">
        <f t="shared" si="0"/>
        <v>#REF!</v>
      </c>
      <c r="K8" s="44"/>
      <c r="L8" s="44"/>
      <c r="M8" t="e">
        <f t="shared" si="2"/>
        <v>#REF!</v>
      </c>
      <c r="N8" t="e">
        <f>EXACT(M8,#REF!)</f>
        <v>#REF!</v>
      </c>
      <c r="P8" t="str">
        <f t="shared" si="1"/>
        <v xml:space="preserve">AUDITORIA ESPECIAL - INFORME COMPLEMENTARIO AL INFORME PRELIMINAR AI-005/10 RC (C2) CONSTRUCCIÓN SISTEMA DE AGUA POTABLE TOROPALCA (COTAGAITA), POR LA EMPRESA CONSTRUCTORA TÉCNICOS CONSTRUCTORES S.R.L. </v>
      </c>
    </row>
    <row r="9" spans="1:16" ht="49.5" customHeight="1" x14ac:dyDescent="0.2">
      <c r="A9" s="70">
        <v>6</v>
      </c>
      <c r="B9" s="143" t="str">
        <f>VLOOKUP(A9,anexo1!A17:H51,2,FALSE)</f>
        <v>Auditoria Especial sobre la Revisión Anual al Cumplimiento del Procedimiento para el cumplimiento Oportuno de la Declaración Jurada de Bienes y Rentas (PCO-DJBR)</v>
      </c>
      <c r="C9" s="71" t="s">
        <v>64</v>
      </c>
      <c r="D9" s="144" t="e">
        <f>VLOOKUP($A9,'anexo3 DATOS'!$B10:$D$25,2,FALSE)</f>
        <v>#REF!</v>
      </c>
      <c r="E9" s="144" t="e">
        <f>VLOOKUP($A9,'anexo3 DATOS'!$B10:$D$25,3,FALSE)</f>
        <v>#REF!</v>
      </c>
      <c r="F9" s="145" t="e">
        <f>VLOOKUP($A9,'anexo3 DATOS'!$J$5:$L$25,2,FALSE)</f>
        <v>#REF!</v>
      </c>
      <c r="G9" s="145" t="e">
        <f>VLOOKUP($A9,'anexo3 DATOS'!$J$5:$L$25,3,FALSE)</f>
        <v>#REF!</v>
      </c>
      <c r="H9" s="150" t="e">
        <f>VLOOKUP(A9,'anexo7 (1.1)'!A24:I26,9,FALSE)</f>
        <v>#N/A</v>
      </c>
      <c r="I9" s="146" t="e">
        <f>VLOOKUP(A9,#REF!,14,FALSE)</f>
        <v>#REF!</v>
      </c>
      <c r="J9" s="44" t="e">
        <f t="shared" si="0"/>
        <v>#REF!</v>
      </c>
      <c r="K9" s="44"/>
      <c r="L9" s="44"/>
      <c r="M9" t="e">
        <f t="shared" si="2"/>
        <v>#REF!</v>
      </c>
      <c r="N9" t="e">
        <f>EXACT(M9,#REF!)</f>
        <v>#REF!</v>
      </c>
      <c r="P9" t="str">
        <f t="shared" si="1"/>
        <v>AUDITORIA ESPECIAL SOBRE LA REVISIÓN ANUAL AL CUMPLIMIENTO DEL PROCEDIMIENTO PARA EL CUMPLIMIENTO OPORTUNO DE LA DECLARACIÓN JURADA DE BIENES Y RENTAS (PCO-DJBR)</v>
      </c>
    </row>
    <row r="10" spans="1:16" ht="49.5" customHeight="1" x14ac:dyDescent="0.2">
      <c r="A10" s="70">
        <v>7</v>
      </c>
      <c r="B10" s="143" t="e">
        <f>VLOOKUP(A10,anexo1!A18:H52,2,FALSE)</f>
        <v>#N/A</v>
      </c>
      <c r="C10" s="71" t="s">
        <v>63</v>
      </c>
      <c r="D10" s="144" t="e">
        <f>VLOOKUP($A10,'anexo3 DATOS'!$B11:$D$25,2,FALSE)</f>
        <v>#REF!</v>
      </c>
      <c r="E10" s="144" t="e">
        <f>VLOOKUP($A10,'anexo3 DATOS'!$B11:$D$25,3,FALSE)</f>
        <v>#REF!</v>
      </c>
      <c r="F10" s="145" t="e">
        <f>VLOOKUP($A10,'anexo3 DATOS'!$J$5:$L$25,2,FALSE)</f>
        <v>#REF!</v>
      </c>
      <c r="G10" s="145" t="e">
        <f>VLOOKUP($A10,'anexo3 DATOS'!$J$5:$L$25,3,FALSE)</f>
        <v>#REF!</v>
      </c>
      <c r="H10" s="150" t="e">
        <f>VLOOKUP(A10,'anexo7 (1.1)'!A25:I27,9,FALSE)</f>
        <v>#N/A</v>
      </c>
      <c r="I10" s="146" t="e">
        <f>VLOOKUP(A10,#REF!,14,FALSE)</f>
        <v>#REF!</v>
      </c>
      <c r="J10" s="44" t="e">
        <f t="shared" si="0"/>
        <v>#REF!</v>
      </c>
      <c r="K10" s="44"/>
      <c r="L10" s="44"/>
      <c r="M10" t="e">
        <f t="shared" si="2"/>
        <v>#REF!</v>
      </c>
      <c r="N10" t="e">
        <f>EXACT(M10,#REF!)</f>
        <v>#REF!</v>
      </c>
      <c r="P10" t="e">
        <f t="shared" si="1"/>
        <v>#N/A</v>
      </c>
    </row>
    <row r="11" spans="1:16" ht="25.5" customHeight="1" x14ac:dyDescent="0.2">
      <c r="A11" s="70">
        <v>8</v>
      </c>
      <c r="B11" s="143" t="e">
        <f>VLOOKUP(A11,anexo1!A19:H53,2,FALSE)</f>
        <v>#N/A</v>
      </c>
      <c r="C11" s="71" t="s">
        <v>75</v>
      </c>
      <c r="D11" s="144" t="e">
        <f>VLOOKUP($A11,'anexo3 DATOS'!$B12:$D$25,2,FALSE)</f>
        <v>#REF!</v>
      </c>
      <c r="E11" s="144" t="e">
        <f>VLOOKUP($A11,'anexo3 DATOS'!$B12:$D$25,3,FALSE)</f>
        <v>#REF!</v>
      </c>
      <c r="F11" s="145" t="e">
        <f>VLOOKUP($A11,'anexo3 DATOS'!$J$5:$L$25,2,FALSE)</f>
        <v>#REF!</v>
      </c>
      <c r="G11" s="145" t="e">
        <f>VLOOKUP($A11,'anexo3 DATOS'!$J$5:$L$25,3,FALSE)</f>
        <v>#REF!</v>
      </c>
      <c r="H11" s="150" t="e">
        <f>VLOOKUP(A11,'anexo7 (1.1)'!A26:I28,9,FALSE)</f>
        <v>#N/A</v>
      </c>
      <c r="I11" s="146" t="e">
        <f>VLOOKUP(A11,#REF!,14,FALSE)</f>
        <v>#REF!</v>
      </c>
      <c r="J11" s="44" t="e">
        <f t="shared" si="0"/>
        <v>#REF!</v>
      </c>
      <c r="K11" s="44"/>
      <c r="L11" s="44"/>
      <c r="M11" t="e">
        <f t="shared" si="2"/>
        <v>#REF!</v>
      </c>
      <c r="N11" t="e">
        <f>EXACT(M11,#REF!)</f>
        <v>#REF!</v>
      </c>
      <c r="P11" t="e">
        <f t="shared" si="1"/>
        <v>#N/A</v>
      </c>
    </row>
    <row r="12" spans="1:16" ht="25.5" customHeight="1" x14ac:dyDescent="0.2">
      <c r="A12" s="70">
        <v>9</v>
      </c>
      <c r="B12" s="143" t="e">
        <f>VLOOKUP(A12,anexo1!A22:H54,2,FALSE)</f>
        <v>#N/A</v>
      </c>
      <c r="C12" s="71" t="s">
        <v>76</v>
      </c>
      <c r="D12" s="144" t="e">
        <f>VLOOKUP($A12,'anexo3 DATOS'!$B13:$D$25,2,FALSE)</f>
        <v>#REF!</v>
      </c>
      <c r="E12" s="144" t="e">
        <f>VLOOKUP($A12,'anexo3 DATOS'!$B13:$D$25,3,FALSE)</f>
        <v>#REF!</v>
      </c>
      <c r="F12" s="145" t="e">
        <f>VLOOKUP($A12,'anexo3 DATOS'!$J$5:$L$25,2,FALSE)</f>
        <v>#REF!</v>
      </c>
      <c r="G12" s="145" t="e">
        <f>VLOOKUP($A12,'anexo3 DATOS'!$J$5:$L$25,3,FALSE)</f>
        <v>#REF!</v>
      </c>
      <c r="H12" s="150" t="e">
        <f>VLOOKUP(A12,'anexo7 (1.1)'!A27:I29,9,FALSE)</f>
        <v>#N/A</v>
      </c>
      <c r="I12" s="146" t="e">
        <f>VLOOKUP(A12,#REF!,14,FALSE)</f>
        <v>#REF!</v>
      </c>
      <c r="J12" s="44" t="e">
        <f t="shared" si="0"/>
        <v>#REF!</v>
      </c>
      <c r="K12" s="44"/>
      <c r="L12" s="44"/>
      <c r="M12" t="e">
        <f t="shared" si="2"/>
        <v>#REF!</v>
      </c>
      <c r="N12" t="e">
        <f>EXACT(M12,#REF!)</f>
        <v>#REF!</v>
      </c>
      <c r="P12" t="e">
        <f t="shared" si="1"/>
        <v>#N/A</v>
      </c>
    </row>
    <row r="13" spans="1:16" ht="25.5" customHeight="1" x14ac:dyDescent="0.2">
      <c r="A13" s="70">
        <v>10</v>
      </c>
      <c r="B13" s="143" t="e">
        <f>VLOOKUP(A13,anexo1!A23:H55,2,FALSE)</f>
        <v>#N/A</v>
      </c>
      <c r="C13" s="71" t="s">
        <v>77</v>
      </c>
      <c r="D13" s="144" t="e">
        <f>VLOOKUP($A13,'anexo3 DATOS'!$B14:$D$25,2,FALSE)</f>
        <v>#REF!</v>
      </c>
      <c r="E13" s="144" t="e">
        <f>VLOOKUP($A13,'anexo3 DATOS'!$B14:$D$25,3,FALSE)</f>
        <v>#REF!</v>
      </c>
      <c r="F13" s="145" t="e">
        <f>VLOOKUP($A13,'anexo3 DATOS'!$J$5:$L$25,2,FALSE)</f>
        <v>#REF!</v>
      </c>
      <c r="G13" s="145" t="e">
        <f>VLOOKUP($A13,'anexo3 DATOS'!$J$5:$L$25,3,FALSE)</f>
        <v>#REF!</v>
      </c>
      <c r="H13" s="150" t="e">
        <f>VLOOKUP(A13,'anexo7 (1.1)'!A28:I30,9,FALSE)</f>
        <v>#N/A</v>
      </c>
      <c r="I13" s="146" t="e">
        <f>VLOOKUP(A13,#REF!,14,FALSE)</f>
        <v>#REF!</v>
      </c>
      <c r="J13" s="44" t="e">
        <f t="shared" si="0"/>
        <v>#REF!</v>
      </c>
      <c r="K13" s="44"/>
      <c r="L13" s="44"/>
      <c r="M13" t="e">
        <f t="shared" si="2"/>
        <v>#REF!</v>
      </c>
      <c r="N13" t="e">
        <f>EXACT(M13,#REF!)</f>
        <v>#REF!</v>
      </c>
      <c r="P13" t="e">
        <f t="shared" si="1"/>
        <v>#N/A</v>
      </c>
    </row>
    <row r="14" spans="1:16" ht="25.5" customHeight="1" x14ac:dyDescent="0.2">
      <c r="A14" s="70">
        <v>11</v>
      </c>
      <c r="B14" s="143" t="e">
        <f>VLOOKUP(A14,anexo1!A23:H56,2,FALSE)</f>
        <v>#N/A</v>
      </c>
      <c r="C14" s="71" t="s">
        <v>78</v>
      </c>
      <c r="D14" s="144" t="e">
        <f>VLOOKUP($A14,'anexo3 DATOS'!$B15:$D$25,2,FALSE)</f>
        <v>#REF!</v>
      </c>
      <c r="E14" s="144" t="e">
        <f>VLOOKUP($A14,'anexo3 DATOS'!$B15:$D$25,3,FALSE)</f>
        <v>#REF!</v>
      </c>
      <c r="F14" s="145" t="e">
        <f>VLOOKUP($A14,'anexo3 DATOS'!$J$5:$L$25,2,FALSE)</f>
        <v>#REF!</v>
      </c>
      <c r="G14" s="145" t="e">
        <f>VLOOKUP($A14,'anexo3 DATOS'!$J$5:$L$25,3,FALSE)</f>
        <v>#REF!</v>
      </c>
      <c r="H14" s="150" t="e">
        <f>VLOOKUP(A14,'anexo7 (1.1)'!A29:I31,9,FALSE)</f>
        <v>#N/A</v>
      </c>
      <c r="I14" s="146" t="e">
        <f>VLOOKUP(A14,#REF!,14,FALSE)</f>
        <v>#REF!</v>
      </c>
      <c r="J14" s="44" t="e">
        <f t="shared" si="0"/>
        <v>#REF!</v>
      </c>
      <c r="K14" s="44"/>
      <c r="L14" s="44"/>
      <c r="M14" t="e">
        <f t="shared" si="2"/>
        <v>#REF!</v>
      </c>
      <c r="N14" t="e">
        <f>EXACT(M14,#REF!)</f>
        <v>#REF!</v>
      </c>
      <c r="P14" t="e">
        <f t="shared" si="1"/>
        <v>#N/A</v>
      </c>
    </row>
    <row r="15" spans="1:16" ht="25.5" customHeight="1" x14ac:dyDescent="0.2">
      <c r="A15" s="70">
        <v>12</v>
      </c>
      <c r="B15" s="143" t="str">
        <f>VLOOKUP(A15,anexo1!A23:H57,2,FALSE)</f>
        <v>1er. Seguimiento al Informe Nº AI/003/2016 de Control Interno sobre Examen de Confiabilidad de los Registros y Estados Financieros del Fondo Nacional de Inversión Productiva y Social al 31/12/2015</v>
      </c>
      <c r="C15" s="71" t="s">
        <v>62</v>
      </c>
      <c r="D15" s="144" t="e">
        <f>VLOOKUP($A15,'anexo3 DATOS'!$B16:$D$25,2,FALSE)</f>
        <v>#REF!</v>
      </c>
      <c r="E15" s="144" t="e">
        <f>VLOOKUP($A15,'anexo3 DATOS'!$B16:$D$25,3,FALSE)</f>
        <v>#REF!</v>
      </c>
      <c r="F15" s="145" t="e">
        <f>VLOOKUP($A15,'anexo3 DATOS'!$J$5:$L$25,2,FALSE)</f>
        <v>#REF!</v>
      </c>
      <c r="G15" s="145" t="e">
        <f>VLOOKUP($A15,'anexo3 DATOS'!$J$5:$L$25,3,FALSE)</f>
        <v>#REF!</v>
      </c>
      <c r="H15" s="150" t="e">
        <f>VLOOKUP(A15,'anexo7 (1.1)'!A30:I32,9,FALSE)</f>
        <v>#N/A</v>
      </c>
      <c r="I15" s="146" t="e">
        <f>VLOOKUP(A15,#REF!,14,FALSE)</f>
        <v>#REF!</v>
      </c>
      <c r="J15" s="44" t="e">
        <f t="shared" si="0"/>
        <v>#REF!</v>
      </c>
      <c r="K15" s="44"/>
      <c r="L15" s="44"/>
      <c r="M15" t="e">
        <f t="shared" si="2"/>
        <v>#REF!</v>
      </c>
      <c r="N15" t="e">
        <f>EXACT(M15,#REF!)</f>
        <v>#REF!</v>
      </c>
      <c r="P15" t="str">
        <f t="shared" si="1"/>
        <v>1ER. SEGUIMIENTO AL INFORME Nº AI/003/2016 DE CONTROL INTERNO SOBRE EXAMEN DE CONFIABILIDAD DE LOS REGISTROS Y ESTADOS FINANCIEROS DEL FONDO NACIONAL DE INVERSIÓN PRODUCTIVA Y SOCIAL AL 31/12/2015</v>
      </c>
    </row>
    <row r="16" spans="1:16" ht="25.5" customHeight="1" x14ac:dyDescent="0.2">
      <c r="A16" s="70">
        <v>13</v>
      </c>
      <c r="B16" s="143" t="str">
        <f>VLOOKUP(A16,anexo1!A23:H58,2,FALSE)</f>
        <v>Seguimiento al Informe de Control Interno sobre Examen de Confiabilidad de los Registros y Estados Financieros del Fondo Nacional de Inversión Productiva y Social - Gestiones 2012, 2013 y 2014</v>
      </c>
      <c r="C16" s="71" t="s">
        <v>62</v>
      </c>
      <c r="D16" s="144" t="e">
        <f>VLOOKUP($A16,'anexo3 DATOS'!$B17:$D$25,2,FALSE)</f>
        <v>#REF!</v>
      </c>
      <c r="E16" s="144" t="e">
        <f>VLOOKUP($A16,'anexo3 DATOS'!$B17:$D$25,3,FALSE)</f>
        <v>#REF!</v>
      </c>
      <c r="F16" s="145" t="e">
        <f>VLOOKUP($A16,'anexo3 DATOS'!$J$5:$L$25,2,FALSE)</f>
        <v>#REF!</v>
      </c>
      <c r="G16" s="145" t="e">
        <f>VLOOKUP($A16,'anexo3 DATOS'!$J$5:$L$25,3,FALSE)</f>
        <v>#REF!</v>
      </c>
      <c r="H16" s="150" t="e">
        <f>VLOOKUP(A16,'anexo7 (1.1)'!A31:I33,9,FALSE)</f>
        <v>#N/A</v>
      </c>
      <c r="I16" s="146" t="e">
        <f>VLOOKUP(A16,#REF!,14,FALSE)</f>
        <v>#REF!</v>
      </c>
      <c r="J16" s="44" t="e">
        <f t="shared" si="0"/>
        <v>#REF!</v>
      </c>
      <c r="K16" s="44"/>
      <c r="L16" s="44"/>
      <c r="M16" t="e">
        <f t="shared" si="2"/>
        <v>#REF!</v>
      </c>
      <c r="N16" t="e">
        <f>EXACT(M16,#REF!)</f>
        <v>#REF!</v>
      </c>
      <c r="P16" t="str">
        <f t="shared" si="1"/>
        <v>SEGUIMIENTO AL INFORME DE CONTROL INTERNO SOBRE EXAMEN DE CONFIABILIDAD DE LOS REGISTROS Y ESTADOS FINANCIEROS DEL FONDO NACIONAL DE INVERSIÓN PRODUCTIVA Y SOCIAL - GESTIONES 2012, 2013 Y 2014</v>
      </c>
    </row>
    <row r="17" spans="1:16" ht="51" x14ac:dyDescent="0.2">
      <c r="A17" s="70">
        <v>14</v>
      </c>
      <c r="B17" s="143" t="str">
        <f>VLOOKUP(A17,anexo1!A23:H59,2,FALSE)</f>
        <v>Seguimiento al Informe de Control Interno sobre Examen de Confiabilidad de los Registros y Estados Financieros del Fondo Nacional de Inversión Productiva y Social - Gestiones 2013 y 2015</v>
      </c>
      <c r="C17" s="71" t="s">
        <v>62</v>
      </c>
      <c r="D17" s="144" t="e">
        <f>VLOOKUP($A17,'anexo3 DATOS'!$B18:$D$25,2,FALSE)</f>
        <v>#REF!</v>
      </c>
      <c r="E17" s="144" t="e">
        <f>VLOOKUP($A17,'anexo3 DATOS'!$B18:$D$25,3,FALSE)</f>
        <v>#REF!</v>
      </c>
      <c r="F17" s="145" t="e">
        <f>VLOOKUP($A17,'anexo3 DATOS'!$J$5:$L$25,2,FALSE)</f>
        <v>#REF!</v>
      </c>
      <c r="G17" s="145" t="e">
        <f>VLOOKUP($A17,'anexo3 DATOS'!$J$5:$L$25,3,FALSE)</f>
        <v>#REF!</v>
      </c>
      <c r="H17" s="150" t="e">
        <f>VLOOKUP(A17,'anexo7 (1.1)'!A32:I34,9,FALSE)</f>
        <v>#N/A</v>
      </c>
      <c r="I17" s="146" t="e">
        <f>VLOOKUP(A17,#REF!,14,FALSE)</f>
        <v>#REF!</v>
      </c>
      <c r="J17" s="44" t="e">
        <f t="shared" si="0"/>
        <v>#REF!</v>
      </c>
      <c r="K17" s="44"/>
      <c r="L17" s="44"/>
      <c r="M17" t="e">
        <f t="shared" si="2"/>
        <v>#REF!</v>
      </c>
      <c r="N17" t="e">
        <f>EXACT(M17,#REF!)</f>
        <v>#REF!</v>
      </c>
      <c r="P17" t="str">
        <f t="shared" si="1"/>
        <v>SEGUIMIENTO AL INFORME DE CONTROL INTERNO SOBRE EXAMEN DE CONFIABILIDAD DE LOS REGISTROS Y ESTADOS FINANCIEROS DEL FONDO NACIONAL DE INVERSIÓN PRODUCTIVA Y SOCIAL - GESTIONES 2013 Y 2015</v>
      </c>
    </row>
    <row r="18" spans="1:16" ht="25.5" customHeight="1" x14ac:dyDescent="0.2">
      <c r="A18" s="70">
        <v>15</v>
      </c>
      <c r="B18" s="143" t="str">
        <f>VLOOKUP(A18,anexo1!A23:H60,2,FALSE)</f>
        <v>2do. Seguimiento al Informe de Control Interno sobre Examen de Confiabilidad de los Registros y Estados Financieros del Fondo Nacional de Inversión Productiva y Social - FPS al 31-12 2013</v>
      </c>
      <c r="C18" s="71" t="s">
        <v>62</v>
      </c>
      <c r="D18" s="144" t="e">
        <f>VLOOKUP($A18,'anexo3 DATOS'!$B19:$D$25,2,FALSE)</f>
        <v>#REF!</v>
      </c>
      <c r="E18" s="144" t="e">
        <f>VLOOKUP($A18,'anexo3 DATOS'!$B19:$D$25,3,FALSE)</f>
        <v>#REF!</v>
      </c>
      <c r="F18" s="145" t="e">
        <f>VLOOKUP($A18,'anexo3 DATOS'!$J$5:$L$25,2,FALSE)</f>
        <v>#REF!</v>
      </c>
      <c r="G18" s="145" t="e">
        <f>VLOOKUP($A18,'anexo3 DATOS'!$J$5:$L$25,3,FALSE)</f>
        <v>#REF!</v>
      </c>
      <c r="H18" s="150" t="e">
        <f>VLOOKUP(A18,'anexo7 (1.1)'!A33:I35,9,FALSE)</f>
        <v>#N/A</v>
      </c>
      <c r="I18" s="146" t="e">
        <f>VLOOKUP(A18,#REF!,14,FALSE)</f>
        <v>#REF!</v>
      </c>
      <c r="J18" s="44" t="e">
        <f t="shared" si="0"/>
        <v>#REF!</v>
      </c>
      <c r="K18" s="44"/>
      <c r="L18" s="44"/>
      <c r="M18" t="e">
        <f t="shared" si="2"/>
        <v>#REF!</v>
      </c>
      <c r="N18" t="e">
        <f>EXACT(M18,#REF!)</f>
        <v>#REF!</v>
      </c>
      <c r="P18" t="str">
        <f t="shared" si="1"/>
        <v>2DO. SEGUIMIENTO AL INFORME DE CONTROL INTERNO SOBRE EXAMEN DE CONFIABILIDAD DE LOS REGISTROS Y ESTADOS FINANCIEROS DEL FONDO NACIONAL DE INVERSIÓN PRODUCTIVA Y SOCIAL - FPS AL 31-12 2013</v>
      </c>
    </row>
    <row r="19" spans="1:16" ht="25.5" customHeight="1" x14ac:dyDescent="0.2">
      <c r="A19" s="70">
        <v>16</v>
      </c>
      <c r="B19" s="143" t="e">
        <f>VLOOKUP(A19,anexo1!A24:H61,2,FALSE)</f>
        <v>#N/A</v>
      </c>
      <c r="C19" s="71" t="s">
        <v>62</v>
      </c>
      <c r="D19" s="144" t="e">
        <f>VLOOKUP($A19,'anexo3 DATOS'!$B20:$D$25,2,FALSE)</f>
        <v>#REF!</v>
      </c>
      <c r="E19" s="144" t="e">
        <f>VLOOKUP($A19,'anexo3 DATOS'!$B20:$D$25,3,FALSE)</f>
        <v>#REF!</v>
      </c>
      <c r="F19" s="145" t="e">
        <f>VLOOKUP($A19,'anexo3 DATOS'!$J$5:$L$25,2,FALSE)</f>
        <v>#REF!</v>
      </c>
      <c r="G19" s="145" t="e">
        <f>VLOOKUP($A19,'anexo3 DATOS'!$J$5:$L$25,3,FALSE)</f>
        <v>#REF!</v>
      </c>
      <c r="H19" s="150" t="e">
        <f>VLOOKUP(A19,'anexo7 (1.1)'!A34:I36,9,FALSE)</f>
        <v>#N/A</v>
      </c>
      <c r="I19" s="146" t="e">
        <f>VLOOKUP(A19,#REF!,14,FALSE)</f>
        <v>#REF!</v>
      </c>
      <c r="J19" s="44" t="e">
        <f t="shared" si="0"/>
        <v>#REF!</v>
      </c>
      <c r="K19" s="44"/>
      <c r="L19" s="44"/>
    </row>
    <row r="20" spans="1:16" ht="25.5" customHeight="1" x14ac:dyDescent="0.2">
      <c r="A20" s="70">
        <v>17</v>
      </c>
      <c r="B20" s="143" t="str">
        <f>VLOOKUP(A20,anexo1!A25:H62,2,FALSE)</f>
        <v>Seguimiento al Informe Nº AI/003/2017 de Control Interno sobre Examen de Confiabilidad de los Registros y Estados Financieros del Fondo Nacional de Inversión Productiva y Social al 31/12/2016</v>
      </c>
      <c r="C20" s="71" t="s">
        <v>62</v>
      </c>
      <c r="D20" s="144" t="e">
        <f>VLOOKUP($A20,'anexo3 DATOS'!$B21:$D$25,2,FALSE)</f>
        <v>#REF!</v>
      </c>
      <c r="E20" s="144" t="e">
        <f>VLOOKUP($A20,'anexo3 DATOS'!$B21:$D$25,3,FALSE)</f>
        <v>#REF!</v>
      </c>
      <c r="F20" s="145" t="e">
        <f>VLOOKUP($A20,'anexo3 DATOS'!$J$5:$L$25,2,FALSE)</f>
        <v>#REF!</v>
      </c>
      <c r="G20" s="145" t="e">
        <f>VLOOKUP($A20,'anexo3 DATOS'!$J$5:$L$25,3,FALSE)</f>
        <v>#REF!</v>
      </c>
      <c r="H20" s="150" t="e">
        <f>VLOOKUP(A20,'anexo7 (1.1)'!A35:I37,9,FALSE)</f>
        <v>#N/A</v>
      </c>
      <c r="I20" s="146" t="e">
        <f>VLOOKUP(A20,#REF!,14,FALSE)</f>
        <v>#REF!</v>
      </c>
      <c r="J20" s="44" t="e">
        <f t="shared" si="0"/>
        <v>#REF!</v>
      </c>
      <c r="K20" s="44"/>
      <c r="L20" s="44"/>
    </row>
    <row r="21" spans="1:16" ht="25.5" customHeight="1" x14ac:dyDescent="0.2">
      <c r="A21" s="70">
        <v>18</v>
      </c>
      <c r="B21" s="143" t="e">
        <f>VLOOKUP(A21,anexo1!A26:H63,2,FALSE)</f>
        <v>#N/A</v>
      </c>
      <c r="C21" s="71" t="s">
        <v>62</v>
      </c>
      <c r="D21" s="144" t="e">
        <f>VLOOKUP($A21,'anexo3 DATOS'!$B22:$D$25,2,FALSE)</f>
        <v>#REF!</v>
      </c>
      <c r="E21" s="144" t="e">
        <f>VLOOKUP($A21,'anexo3 DATOS'!$B22:$D$25,3,FALSE)</f>
        <v>#REF!</v>
      </c>
      <c r="F21" s="145" t="e">
        <f>VLOOKUP($A21,'anexo3 DATOS'!$J$5:$L$25,2,FALSE)</f>
        <v>#REF!</v>
      </c>
      <c r="G21" s="145" t="e">
        <f>VLOOKUP($A21,'anexo3 DATOS'!$J$5:$L$25,3,FALSE)</f>
        <v>#REF!</v>
      </c>
      <c r="H21" s="150" t="e">
        <f>VLOOKUP(A21,'anexo7 (1.1)'!A36:I38,9,FALSE)</f>
        <v>#N/A</v>
      </c>
      <c r="I21" s="146" t="e">
        <f>VLOOKUP(A21,#REF!,14,FALSE)</f>
        <v>#REF!</v>
      </c>
      <c r="J21" s="44" t="e">
        <f t="shared" si="0"/>
        <v>#REF!</v>
      </c>
      <c r="K21" s="44"/>
      <c r="L21" s="44"/>
      <c r="M21" t="e">
        <f>1/D21</f>
        <v>#REF!</v>
      </c>
      <c r="N21" t="e">
        <f>EXACT(M21,#REF!)</f>
        <v>#REF!</v>
      </c>
      <c r="P21" t="e">
        <f t="shared" si="1"/>
        <v>#N/A</v>
      </c>
    </row>
    <row r="22" spans="1:16" ht="25.5" customHeight="1" x14ac:dyDescent="0.2">
      <c r="A22" s="70"/>
      <c r="B22" s="143" t="e">
        <f>VLOOKUP(A22,anexo1!A27:H64,2,FALSE)</f>
        <v>#N/A</v>
      </c>
      <c r="C22" s="71"/>
      <c r="D22" s="144" t="e">
        <f>VLOOKUP($A22,'anexo3 DATOS'!$B23:$D$25,2,FALSE)</f>
        <v>#N/A</v>
      </c>
      <c r="E22" s="144" t="e">
        <f>VLOOKUP($A22,'anexo3 DATOS'!$B23:$D$25,3,FALSE)</f>
        <v>#N/A</v>
      </c>
      <c r="F22" s="145" t="e">
        <f>VLOOKUP($A22,'anexo3 DATOS'!$J$5:$L$25,2,FALSE)</f>
        <v>#N/A</v>
      </c>
      <c r="G22" s="145" t="e">
        <f>VLOOKUP($A22,'anexo3 DATOS'!$J$5:$L$25,3,FALSE)</f>
        <v>#N/A</v>
      </c>
      <c r="H22" s="150" t="e">
        <f>VLOOKUP(A22,'anexo7 (1.1)'!A37:I39,9,FALSE)</f>
        <v>#N/A</v>
      </c>
      <c r="I22" s="146" t="e">
        <f>VLOOKUP(A22,#REF!,14,FALSE)</f>
        <v>#REF!</v>
      </c>
      <c r="J22" s="44"/>
      <c r="K22" s="44"/>
      <c r="L22" s="44"/>
      <c r="M22" t="e">
        <f>1/D22</f>
        <v>#N/A</v>
      </c>
      <c r="N22" t="e">
        <f>EXACT(M22,#REF!)</f>
        <v>#N/A</v>
      </c>
      <c r="P22" t="e">
        <f t="shared" si="1"/>
        <v>#N/A</v>
      </c>
    </row>
    <row r="23" spans="1:16" ht="25.5" customHeight="1" x14ac:dyDescent="0.2">
      <c r="A23" s="122">
        <v>19</v>
      </c>
      <c r="B23" s="120" t="s">
        <v>50</v>
      </c>
      <c r="D23" s="144" t="e">
        <f>VLOOKUP($A23,'anexo3 DATOS'!$B22:$D$25,2,FALSE)</f>
        <v>#REF!</v>
      </c>
      <c r="E23" s="144" t="e">
        <f>VLOOKUP($A23,'anexo3 DATOS'!$B22:$D$25,3,FALSE)</f>
        <v>#REF!</v>
      </c>
      <c r="F23" s="145" t="e">
        <f>VLOOKUP($A23,'anexo3 DATOS'!$J$5:$L$25,2,FALSE)</f>
        <v>#REF!</v>
      </c>
      <c r="G23" s="145" t="e">
        <f>VLOOKUP($A23,'anexo3 DATOS'!$J$5:$L$25,3,FALSE)</f>
        <v>#REF!</v>
      </c>
      <c r="H23" s="150" t="e">
        <f>VLOOKUP(A23,'anexo7 (1.1)'!A38:I40,9,FALSE)</f>
        <v>#N/A</v>
      </c>
      <c r="I23" s="146" t="e">
        <f>VLOOKUP(A23,#REF!,14,FALSE)</f>
        <v>#REF!</v>
      </c>
      <c r="J23" s="44"/>
      <c r="K23" s="44"/>
      <c r="L23" s="44"/>
    </row>
    <row r="32" spans="1:16" x14ac:dyDescent="0.2">
      <c r="B32" s="89"/>
      <c r="E32" s="44"/>
    </row>
    <row r="33" spans="4:5" x14ac:dyDescent="0.2">
      <c r="E33" s="44"/>
    </row>
    <row r="34" spans="4:5" x14ac:dyDescent="0.2">
      <c r="E34" s="44"/>
    </row>
    <row r="35" spans="4:5" x14ac:dyDescent="0.2">
      <c r="D35" s="44"/>
      <c r="E35" s="44"/>
    </row>
    <row r="36" spans="4:5" x14ac:dyDescent="0.2">
      <c r="E36" s="44"/>
    </row>
    <row r="37" spans="4:5" x14ac:dyDescent="0.2">
      <c r="E37" s="44"/>
    </row>
  </sheetData>
  <mergeCells count="6">
    <mergeCell ref="M3:N3"/>
    <mergeCell ref="D2:D3"/>
    <mergeCell ref="F2:F3"/>
    <mergeCell ref="D1:E1"/>
    <mergeCell ref="F1:G1"/>
    <mergeCell ref="H1:I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B1:L28"/>
  <sheetViews>
    <sheetView workbookViewId="0">
      <selection activeCell="D6" sqref="D6"/>
    </sheetView>
  </sheetViews>
  <sheetFormatPr baseColWidth="10" defaultRowHeight="12.75" x14ac:dyDescent="0.2"/>
  <cols>
    <col min="1" max="1" width="2.85546875" customWidth="1"/>
    <col min="3" max="3" width="11.7109375" customWidth="1"/>
    <col min="5" max="5" width="14.7109375" customWidth="1"/>
    <col min="6" max="6" width="3" bestFit="1" customWidth="1"/>
    <col min="7" max="8" width="18" customWidth="1"/>
    <col min="9" max="9" width="23" bestFit="1" customWidth="1"/>
    <col min="11" max="11" width="12.28515625" bestFit="1" customWidth="1"/>
    <col min="12" max="12" width="11" customWidth="1"/>
  </cols>
  <sheetData>
    <row r="1" spans="2:12" x14ac:dyDescent="0.2">
      <c r="B1" s="68"/>
      <c r="C1" s="68"/>
      <c r="D1" s="68"/>
      <c r="E1" s="65"/>
      <c r="F1" s="65"/>
      <c r="G1" s="65"/>
      <c r="H1" s="65"/>
      <c r="I1" s="65"/>
      <c r="J1" s="65"/>
      <c r="K1" s="65"/>
      <c r="L1" s="65"/>
    </row>
    <row r="2" spans="2:12" x14ac:dyDescent="0.2">
      <c r="B2" s="68"/>
      <c r="C2" s="68"/>
      <c r="D2" s="68"/>
      <c r="E2" s="65"/>
      <c r="F2" s="65"/>
      <c r="G2" s="65"/>
      <c r="H2" s="65"/>
      <c r="I2" s="65"/>
      <c r="J2" s="65"/>
      <c r="K2" s="65"/>
      <c r="L2" s="65"/>
    </row>
    <row r="3" spans="2:12" x14ac:dyDescent="0.2">
      <c r="B3" s="679" t="s">
        <v>56</v>
      </c>
      <c r="C3" s="679"/>
      <c r="D3" s="679"/>
      <c r="E3" s="141"/>
      <c r="F3" s="65"/>
      <c r="G3" s="65"/>
      <c r="H3" s="65"/>
      <c r="J3" s="680" t="s">
        <v>13</v>
      </c>
      <c r="K3" s="680"/>
      <c r="L3" s="680"/>
    </row>
    <row r="4" spans="2:12" x14ac:dyDescent="0.2">
      <c r="B4" s="66" t="s">
        <v>47</v>
      </c>
      <c r="C4" s="66" t="s">
        <v>48</v>
      </c>
      <c r="D4" s="66" t="s">
        <v>17</v>
      </c>
      <c r="E4" s="66" t="s">
        <v>51</v>
      </c>
      <c r="F4" s="65"/>
      <c r="G4" s="65"/>
      <c r="H4" s="65"/>
      <c r="I4" s="65"/>
      <c r="J4" s="66" t="s">
        <v>47</v>
      </c>
      <c r="K4" s="66" t="s">
        <v>48</v>
      </c>
      <c r="L4" s="66" t="s">
        <v>17</v>
      </c>
    </row>
    <row r="5" spans="2:12" x14ac:dyDescent="0.2">
      <c r="B5">
        <v>1</v>
      </c>
      <c r="C5" t="e">
        <f>VLOOKUP(B5,#REF!,3,FALSE)</f>
        <v>#REF!</v>
      </c>
      <c r="D5" t="e">
        <f>VLOOKUP(B5,#REF!,5,FALSE)</f>
        <v>#REF!</v>
      </c>
      <c r="G5" t="e">
        <f>1/C5</f>
        <v>#REF!</v>
      </c>
      <c r="H5" t="e">
        <f>EXACT(G5,#REF!)</f>
        <v>#REF!</v>
      </c>
      <c r="J5">
        <v>1</v>
      </c>
      <c r="K5" s="44" t="e">
        <f>VLOOKUP($J5,'anexo3 (1.2) (2)'!$A$15:$E$340,3,FALSE)</f>
        <v>#REF!</v>
      </c>
      <c r="L5" s="44" t="e">
        <f>VLOOKUP($J5,'anexo3 (1.2) (2)'!$A$15:$E$340,5,FALSE)</f>
        <v>#REF!</v>
      </c>
    </row>
    <row r="6" spans="2:12" x14ac:dyDescent="0.2">
      <c r="B6">
        <v>2</v>
      </c>
      <c r="C6" t="e">
        <f>VLOOKUP(B6,#REF!,3,FALSE)</f>
        <v>#REF!</v>
      </c>
      <c r="D6" t="e">
        <f>VLOOKUP(B6,#REF!,5,FALSE)</f>
        <v>#REF!</v>
      </c>
      <c r="G6" t="e">
        <f t="shared" ref="G6:G10" si="0">1/C6</f>
        <v>#REF!</v>
      </c>
      <c r="H6" t="e">
        <f>EXACT(G6,#REF!)</f>
        <v>#REF!</v>
      </c>
      <c r="J6">
        <v>2</v>
      </c>
      <c r="K6" s="44" t="e">
        <f>VLOOKUP($J6,'anexo3 (1.2) (2)'!$A$15:$E$340,3,FALSE)</f>
        <v>#REF!</v>
      </c>
      <c r="L6" s="44" t="e">
        <f>VLOOKUP($J6,'anexo3 (1.2) (2)'!$A$15:$E$340,5,FALSE)</f>
        <v>#REF!</v>
      </c>
    </row>
    <row r="7" spans="2:12" x14ac:dyDescent="0.2">
      <c r="B7">
        <v>3</v>
      </c>
      <c r="C7" t="e">
        <f>VLOOKUP(B7,#REF!,3,FALSE)</f>
        <v>#REF!</v>
      </c>
      <c r="D7" t="e">
        <f>VLOOKUP(B7,#REF!,5,FALSE)</f>
        <v>#REF!</v>
      </c>
      <c r="G7" t="e">
        <f t="shared" si="0"/>
        <v>#REF!</v>
      </c>
      <c r="H7" t="e">
        <f>EXACT(G7,#REF!)</f>
        <v>#REF!</v>
      </c>
      <c r="J7">
        <v>3</v>
      </c>
      <c r="K7" s="44" t="e">
        <f>VLOOKUP($J7,'anexo3 (1.2) (2)'!$A$15:$E$340,3,FALSE)</f>
        <v>#REF!</v>
      </c>
      <c r="L7" s="44" t="e">
        <f>VLOOKUP($J7,'anexo3 (1.2) (2)'!$A$15:$E$340,5,FALSE)</f>
        <v>#REF!</v>
      </c>
    </row>
    <row r="8" spans="2:12" x14ac:dyDescent="0.2">
      <c r="B8">
        <v>4</v>
      </c>
      <c r="C8" t="e">
        <f>VLOOKUP(B8,#REF!,3,FALSE)</f>
        <v>#REF!</v>
      </c>
      <c r="D8" t="e">
        <f>VLOOKUP(B8,#REF!,5,FALSE)</f>
        <v>#REF!</v>
      </c>
      <c r="G8" t="e">
        <f t="shared" si="0"/>
        <v>#REF!</v>
      </c>
      <c r="H8" t="e">
        <f>EXACT(G8,#REF!)</f>
        <v>#REF!</v>
      </c>
      <c r="J8">
        <v>4</v>
      </c>
      <c r="K8" s="44" t="e">
        <f>VLOOKUP($J8,'anexo3 (1.2) (2)'!$A$15:$E$340,3,FALSE)</f>
        <v>#REF!</v>
      </c>
      <c r="L8" s="44" t="e">
        <f>VLOOKUP($J8,'anexo3 (1.2) (2)'!$A$15:$E$340,5,FALSE)</f>
        <v>#REF!</v>
      </c>
    </row>
    <row r="9" spans="2:12" x14ac:dyDescent="0.2">
      <c r="B9">
        <v>5</v>
      </c>
      <c r="C9" t="e">
        <f>VLOOKUP(B9,#REF!,3,FALSE)</f>
        <v>#REF!</v>
      </c>
      <c r="D9" t="e">
        <f>VLOOKUP(B9,#REF!,5,FALSE)</f>
        <v>#REF!</v>
      </c>
      <c r="G9" t="e">
        <f t="shared" si="0"/>
        <v>#REF!</v>
      </c>
      <c r="H9" t="e">
        <f>EXACT(G9,#REF!)</f>
        <v>#REF!</v>
      </c>
      <c r="J9">
        <v>5</v>
      </c>
      <c r="K9" s="44" t="e">
        <f>VLOOKUP($J9,'anexo3 (1.2) (2)'!$A$15:$E$340,3,FALSE)</f>
        <v>#REF!</v>
      </c>
      <c r="L9" s="44" t="e">
        <f>VLOOKUP($J9,'anexo3 (1.2) (2)'!$A$15:$E$340,5,FALSE)</f>
        <v>#REF!</v>
      </c>
    </row>
    <row r="10" spans="2:12" x14ac:dyDescent="0.2">
      <c r="B10">
        <v>6</v>
      </c>
      <c r="C10" t="e">
        <f>VLOOKUP(B10,#REF!,3,FALSE)</f>
        <v>#REF!</v>
      </c>
      <c r="D10" t="e">
        <f>VLOOKUP(B10,#REF!,5,FALSE)</f>
        <v>#REF!</v>
      </c>
      <c r="G10" t="e">
        <f t="shared" si="0"/>
        <v>#REF!</v>
      </c>
      <c r="H10" t="e">
        <f>EXACT(G10,#REF!)</f>
        <v>#REF!</v>
      </c>
      <c r="J10">
        <v>6</v>
      </c>
      <c r="K10" s="44" t="e">
        <f>VLOOKUP($J10,'anexo3 (1.2) (2)'!$A$15:$E$340,3,FALSE)</f>
        <v>#REF!</v>
      </c>
      <c r="L10" s="44" t="e">
        <f>VLOOKUP($J10,'anexo3 (1.2) (2)'!$A$15:$E$340,5,FALSE)</f>
        <v>#REF!</v>
      </c>
    </row>
    <row r="11" spans="2:12" x14ac:dyDescent="0.2">
      <c r="B11">
        <v>7</v>
      </c>
      <c r="C11" t="e">
        <f>VLOOKUP(B11,#REF!,3,FALSE)</f>
        <v>#REF!</v>
      </c>
      <c r="D11" t="e">
        <f>VLOOKUP(B11,#REF!,5,FALSE)</f>
        <v>#REF!</v>
      </c>
      <c r="G11" t="e">
        <f t="shared" ref="G11:G22" si="1">1/C11</f>
        <v>#REF!</v>
      </c>
      <c r="H11" t="e">
        <f>EXACT(G11,#REF!)</f>
        <v>#REF!</v>
      </c>
      <c r="J11">
        <v>7</v>
      </c>
      <c r="K11" s="44" t="e">
        <f>VLOOKUP($J11,'anexo3 (1.2) (2)'!$A$15:$E$340,3,FALSE)</f>
        <v>#REF!</v>
      </c>
      <c r="L11" s="44" t="e">
        <f>VLOOKUP($J11,'anexo3 (1.2) (2)'!$A$15:$E$340,5,FALSE)</f>
        <v>#REF!</v>
      </c>
    </row>
    <row r="12" spans="2:12" x14ac:dyDescent="0.2">
      <c r="B12">
        <v>8</v>
      </c>
      <c r="C12" t="e">
        <f>VLOOKUP(B12,#REF!,3,FALSE)</f>
        <v>#REF!</v>
      </c>
      <c r="D12" t="e">
        <f>VLOOKUP(B12,#REF!,5,FALSE)</f>
        <v>#REF!</v>
      </c>
      <c r="G12" t="e">
        <f t="shared" si="1"/>
        <v>#REF!</v>
      </c>
      <c r="H12" t="e">
        <f>EXACT(G12,#REF!)</f>
        <v>#REF!</v>
      </c>
      <c r="J12">
        <v>8</v>
      </c>
      <c r="K12" s="44" t="e">
        <f>VLOOKUP($J12,'anexo3 (1.2) (2)'!$A$15:$E$340,3,FALSE)</f>
        <v>#REF!</v>
      </c>
      <c r="L12" s="44" t="e">
        <f>VLOOKUP($J12,'anexo3 (1.2) (2)'!$A$15:$E$340,5,FALSE)</f>
        <v>#REF!</v>
      </c>
    </row>
    <row r="13" spans="2:12" x14ac:dyDescent="0.2">
      <c r="B13">
        <v>9</v>
      </c>
      <c r="C13" t="e">
        <f>VLOOKUP(B13,#REF!,3,FALSE)</f>
        <v>#REF!</v>
      </c>
      <c r="D13" t="e">
        <f>VLOOKUP(B13,#REF!,5,FALSE)</f>
        <v>#REF!</v>
      </c>
      <c r="G13" t="e">
        <f t="shared" si="1"/>
        <v>#REF!</v>
      </c>
      <c r="H13" t="e">
        <f>EXACT(G13,#REF!)</f>
        <v>#REF!</v>
      </c>
      <c r="J13">
        <v>9</v>
      </c>
      <c r="K13" s="44" t="e">
        <f>VLOOKUP($J13,'anexo3 (1.2) (2)'!$A$15:$E$340,3,FALSE)</f>
        <v>#REF!</v>
      </c>
      <c r="L13" s="44" t="e">
        <f>VLOOKUP($J13,'anexo3 (1.2) (2)'!$A$15:$E$340,5,FALSE)</f>
        <v>#REF!</v>
      </c>
    </row>
    <row r="14" spans="2:12" x14ac:dyDescent="0.2">
      <c r="B14">
        <v>10</v>
      </c>
      <c r="C14" t="e">
        <f>VLOOKUP(B14,#REF!,3,FALSE)</f>
        <v>#REF!</v>
      </c>
      <c r="D14" t="e">
        <f>VLOOKUP(B14,#REF!,5,FALSE)</f>
        <v>#REF!</v>
      </c>
      <c r="G14" t="e">
        <f t="shared" si="1"/>
        <v>#REF!</v>
      </c>
      <c r="H14" t="e">
        <f>EXACT(G14,#REF!)</f>
        <v>#REF!</v>
      </c>
      <c r="J14">
        <v>10</v>
      </c>
      <c r="K14" s="44" t="e">
        <f>VLOOKUP($J14,'anexo3 (1.2) (2)'!$A$15:$E$340,3,FALSE)</f>
        <v>#REF!</v>
      </c>
      <c r="L14" s="44" t="e">
        <f>VLOOKUP($J14,'anexo3 (1.2) (2)'!$A$15:$E$340,5,FALSE)</f>
        <v>#REF!</v>
      </c>
    </row>
    <row r="15" spans="2:12" x14ac:dyDescent="0.2">
      <c r="B15">
        <v>11</v>
      </c>
      <c r="C15" t="e">
        <f>VLOOKUP(B15,#REF!,3,FALSE)</f>
        <v>#REF!</v>
      </c>
      <c r="D15" t="e">
        <f>VLOOKUP(B15,#REF!,5,FALSE)</f>
        <v>#REF!</v>
      </c>
      <c r="G15" t="e">
        <f t="shared" si="1"/>
        <v>#REF!</v>
      </c>
      <c r="H15" t="e">
        <f>EXACT(G15,#REF!)</f>
        <v>#REF!</v>
      </c>
      <c r="J15">
        <v>11</v>
      </c>
      <c r="K15" s="44" t="e">
        <f>VLOOKUP($J15,'anexo3 (1.2) (2)'!$A$15:$E$340,3,FALSE)</f>
        <v>#REF!</v>
      </c>
      <c r="L15" s="44" t="e">
        <f>VLOOKUP($J15,'anexo3 (1.2) (2)'!$A$15:$E$340,5,FALSE)</f>
        <v>#REF!</v>
      </c>
    </row>
    <row r="16" spans="2:12" x14ac:dyDescent="0.2">
      <c r="B16">
        <v>12</v>
      </c>
      <c r="C16" t="e">
        <f t="shared" ref="C16" si="2">(E16*$C$25/$E$25)</f>
        <v>#REF!</v>
      </c>
      <c r="D16" t="e">
        <f t="shared" ref="D16" si="3">(E16*$D$25/$E$25)</f>
        <v>#REF!</v>
      </c>
      <c r="E16">
        <v>35</v>
      </c>
      <c r="G16" t="e">
        <f t="shared" si="1"/>
        <v>#REF!</v>
      </c>
      <c r="H16" t="e">
        <f>EXACT(G16,#REF!)</f>
        <v>#REF!</v>
      </c>
      <c r="J16">
        <v>12</v>
      </c>
      <c r="K16" s="44" t="e">
        <f>VLOOKUP($J16,'anexo3 (1.2) (2)'!$A$15:$E$340,3,FALSE)</f>
        <v>#REF!</v>
      </c>
      <c r="L16" s="44" t="e">
        <f>VLOOKUP($J16,'anexo3 (1.2) (2)'!$A$15:$E$340,5,FALSE)</f>
        <v>#REF!</v>
      </c>
    </row>
    <row r="17" spans="2:12" x14ac:dyDescent="0.2">
      <c r="B17">
        <v>13</v>
      </c>
      <c r="C17" t="e">
        <f t="shared" ref="C17:C22" si="4">(E17*$C$25/$E$25)</f>
        <v>#REF!</v>
      </c>
      <c r="D17" t="e">
        <f t="shared" ref="D17:D22" si="5">(E17*$D$25/$E$25)</f>
        <v>#REF!</v>
      </c>
      <c r="E17">
        <v>10</v>
      </c>
      <c r="G17" t="e">
        <f t="shared" si="1"/>
        <v>#REF!</v>
      </c>
      <c r="H17" t="e">
        <f>EXACT(G17,#REF!)</f>
        <v>#REF!</v>
      </c>
      <c r="J17">
        <v>13</v>
      </c>
      <c r="K17" s="44" t="e">
        <f>VLOOKUP($J17,'anexo3 (1.2) (2)'!$A$15:$E$340,3,FALSE)</f>
        <v>#REF!</v>
      </c>
      <c r="L17" s="44" t="e">
        <f>VLOOKUP($J17,'anexo3 (1.2) (2)'!$A$15:$E$340,5,FALSE)</f>
        <v>#REF!</v>
      </c>
    </row>
    <row r="18" spans="2:12" x14ac:dyDescent="0.2">
      <c r="B18">
        <v>14</v>
      </c>
      <c r="C18" t="e">
        <f t="shared" si="4"/>
        <v>#REF!</v>
      </c>
      <c r="D18" t="e">
        <f t="shared" si="5"/>
        <v>#REF!</v>
      </c>
      <c r="E18">
        <v>6</v>
      </c>
      <c r="G18" t="e">
        <f t="shared" si="1"/>
        <v>#REF!</v>
      </c>
      <c r="H18" t="e">
        <f>EXACT(G18,#REF!)</f>
        <v>#REF!</v>
      </c>
      <c r="J18">
        <v>14</v>
      </c>
      <c r="K18" s="44" t="e">
        <f>VLOOKUP($J18,'anexo3 (1.2) (2)'!$A$15:$E$340,3,FALSE)</f>
        <v>#REF!</v>
      </c>
      <c r="L18" s="44" t="e">
        <f>VLOOKUP($J18,'anexo3 (1.2) (2)'!$A$15:$E$340,5,FALSE)</f>
        <v>#REF!</v>
      </c>
    </row>
    <row r="19" spans="2:12" x14ac:dyDescent="0.2">
      <c r="B19">
        <v>15</v>
      </c>
      <c r="C19" t="e">
        <f t="shared" si="4"/>
        <v>#REF!</v>
      </c>
      <c r="D19" t="e">
        <f t="shared" si="5"/>
        <v>#REF!</v>
      </c>
      <c r="E19">
        <v>6</v>
      </c>
      <c r="G19" t="e">
        <f t="shared" si="1"/>
        <v>#REF!</v>
      </c>
      <c r="H19" t="e">
        <f>EXACT(G19,#REF!)</f>
        <v>#REF!</v>
      </c>
      <c r="J19">
        <v>15</v>
      </c>
      <c r="K19" s="44" t="e">
        <f>VLOOKUP($J19,'anexo3 (1.2) (2)'!$A$15:$E$340,3,FALSE)</f>
        <v>#REF!</v>
      </c>
      <c r="L19" s="44" t="e">
        <f>VLOOKUP($J19,'anexo3 (1.2) (2)'!$A$15:$E$340,5,FALSE)</f>
        <v>#REF!</v>
      </c>
    </row>
    <row r="20" spans="2:12" x14ac:dyDescent="0.2">
      <c r="B20">
        <v>16</v>
      </c>
      <c r="C20" t="e">
        <f t="shared" si="4"/>
        <v>#REF!</v>
      </c>
      <c r="D20" t="e">
        <f t="shared" si="5"/>
        <v>#REF!</v>
      </c>
      <c r="E20">
        <v>6</v>
      </c>
      <c r="G20" t="e">
        <f t="shared" si="1"/>
        <v>#REF!</v>
      </c>
      <c r="H20" t="e">
        <f>EXACT(G20,#REF!)</f>
        <v>#REF!</v>
      </c>
      <c r="J20">
        <v>16</v>
      </c>
      <c r="K20" s="44" t="e">
        <f>VLOOKUP($J20,'anexo3 (1.2) (2)'!$A$15:$E$340,3,FALSE)</f>
        <v>#REF!</v>
      </c>
      <c r="L20" s="44" t="e">
        <f>VLOOKUP($J20,'anexo3 (1.2) (2)'!$A$15:$E$340,5,FALSE)</f>
        <v>#REF!</v>
      </c>
    </row>
    <row r="21" spans="2:12" x14ac:dyDescent="0.2">
      <c r="B21">
        <v>17</v>
      </c>
      <c r="C21" t="e">
        <f t="shared" si="4"/>
        <v>#REF!</v>
      </c>
      <c r="D21" t="e">
        <f t="shared" si="5"/>
        <v>#REF!</v>
      </c>
      <c r="E21">
        <v>34</v>
      </c>
      <c r="G21" t="e">
        <f t="shared" si="1"/>
        <v>#REF!</v>
      </c>
      <c r="H21" t="e">
        <f>EXACT(G21,#REF!)</f>
        <v>#REF!</v>
      </c>
      <c r="J21">
        <v>17</v>
      </c>
      <c r="K21" s="44" t="e">
        <f>VLOOKUP($J21,'anexo3 (1.2) (2)'!$A$15:$E$340,3,FALSE)</f>
        <v>#REF!</v>
      </c>
      <c r="L21" s="44" t="e">
        <f>VLOOKUP($J21,'anexo3 (1.2) (2)'!$A$15:$E$340,5,FALSE)</f>
        <v>#REF!</v>
      </c>
    </row>
    <row r="22" spans="2:12" x14ac:dyDescent="0.2">
      <c r="B22">
        <v>18</v>
      </c>
      <c r="C22" t="e">
        <f t="shared" si="4"/>
        <v>#REF!</v>
      </c>
      <c r="D22" t="e">
        <f t="shared" si="5"/>
        <v>#REF!</v>
      </c>
      <c r="E22">
        <v>8</v>
      </c>
      <c r="G22" t="e">
        <f t="shared" si="1"/>
        <v>#REF!</v>
      </c>
      <c r="H22" t="e">
        <f>EXACT(G22,#REF!)</f>
        <v>#REF!</v>
      </c>
      <c r="J22">
        <v>18</v>
      </c>
      <c r="K22" s="44" t="e">
        <f>VLOOKUP($J22,'anexo3 (1.2) (2)'!$A$15:$E$340,3,FALSE)</f>
        <v>#REF!</v>
      </c>
      <c r="L22" s="44" t="e">
        <f>VLOOKUP($J22,'anexo3 (1.2) (2)'!$A$15:$E$340,5,FALSE)</f>
        <v>#REF!</v>
      </c>
    </row>
    <row r="25" spans="2:12" x14ac:dyDescent="0.2">
      <c r="B25" s="120">
        <v>19</v>
      </c>
      <c r="C25" t="e">
        <f>VLOOKUP(B25,#REF!,3,FALSE)</f>
        <v>#REF!</v>
      </c>
      <c r="D25" t="e">
        <f>VLOOKUP(B25,#REF!,5,FALSE)</f>
        <v>#REF!</v>
      </c>
      <c r="E25">
        <f>SUM(E12:E24)</f>
        <v>105</v>
      </c>
      <c r="I25">
        <v>10</v>
      </c>
      <c r="J25">
        <v>19</v>
      </c>
      <c r="K25" s="44" t="e">
        <f>VLOOKUP($J25,#REF!,3,FALSE)</f>
        <v>#REF!</v>
      </c>
      <c r="L25" s="44" t="e">
        <f>VLOOKUP($J25,#REF!,5,FALSE)</f>
        <v>#REF!</v>
      </c>
    </row>
    <row r="28" spans="2:12" x14ac:dyDescent="0.2">
      <c r="F28" s="121">
        <v>18</v>
      </c>
      <c r="G28" s="121"/>
      <c r="H28" s="121"/>
      <c r="I28" s="121" t="s">
        <v>49</v>
      </c>
    </row>
  </sheetData>
  <mergeCells count="2">
    <mergeCell ref="B3:D3"/>
    <mergeCell ref="J3:L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S34"/>
  <sheetViews>
    <sheetView zoomScaleNormal="100" workbookViewId="0">
      <pane ySplit="1" topLeftCell="A17" activePane="bottomLeft" state="frozen"/>
      <selection activeCell="J1" sqref="J1"/>
      <selection pane="bottomLeft" activeCell="B15" sqref="B15"/>
    </sheetView>
  </sheetViews>
  <sheetFormatPr baseColWidth="10" defaultRowHeight="12.75" x14ac:dyDescent="0.2"/>
  <cols>
    <col min="1" max="1" width="5" customWidth="1"/>
    <col min="2" max="2" width="48.28515625" customWidth="1"/>
    <col min="3" max="3" width="17.28515625" customWidth="1"/>
    <col min="4" max="4" width="17.140625" customWidth="1"/>
    <col min="5" max="5" width="16.28515625" customWidth="1"/>
    <col min="6" max="6" width="14.140625" customWidth="1"/>
    <col min="7" max="7" width="13.42578125" customWidth="1"/>
    <col min="8" max="8" width="13.7109375" customWidth="1"/>
    <col min="9" max="9" width="17.42578125" customWidth="1"/>
    <col min="10" max="11" width="12.5703125" style="59" customWidth="1"/>
    <col min="12" max="12" width="8" style="59" bestFit="1" customWidth="1"/>
    <col min="13" max="13" width="14" style="59" customWidth="1"/>
    <col min="14" max="15" width="12.5703125" style="59" customWidth="1"/>
    <col min="16" max="16" width="6.5703125" style="59" customWidth="1"/>
    <col min="17" max="17" width="14" customWidth="1"/>
    <col min="18" max="19" width="12.42578125" bestFit="1" customWidth="1"/>
  </cols>
  <sheetData>
    <row r="1" spans="1:19" s="59" customFormat="1" x14ac:dyDescent="0.2">
      <c r="A1" s="31" t="s">
        <v>22</v>
      </c>
      <c r="B1" s="31"/>
      <c r="C1" s="31"/>
      <c r="D1" s="31"/>
      <c r="E1" s="31"/>
      <c r="F1" s="31"/>
      <c r="G1" s="31"/>
      <c r="H1" s="31"/>
      <c r="I1" s="31"/>
      <c r="J1" s="30"/>
      <c r="K1" s="30"/>
      <c r="M1" s="2"/>
      <c r="N1" s="2"/>
      <c r="O1" s="2"/>
      <c r="P1" s="2"/>
      <c r="Q1" s="2"/>
    </row>
    <row r="2" spans="1:19" s="59" customFormat="1" x14ac:dyDescent="0.2">
      <c r="A2" s="31" t="s">
        <v>11</v>
      </c>
      <c r="B2" s="31"/>
      <c r="C2" s="31"/>
      <c r="D2" s="31"/>
      <c r="E2" s="31"/>
      <c r="F2" s="31"/>
      <c r="G2" s="31"/>
      <c r="H2" s="31"/>
      <c r="I2" s="31"/>
      <c r="J2" s="30"/>
      <c r="K2" s="30"/>
      <c r="M2" s="2"/>
      <c r="N2" s="2"/>
      <c r="O2" s="2"/>
      <c r="P2" s="2"/>
      <c r="Q2" s="2"/>
    </row>
    <row r="3" spans="1:19" s="59" customFormat="1" x14ac:dyDescent="0.2">
      <c r="A3" s="60"/>
      <c r="B3" s="60"/>
      <c r="C3" s="60"/>
      <c r="D3" s="60"/>
      <c r="E3" s="60"/>
      <c r="F3" s="60"/>
      <c r="G3" s="60"/>
      <c r="H3" s="60"/>
      <c r="I3" s="60"/>
      <c r="J3" s="30"/>
      <c r="M3" s="2"/>
      <c r="N3" s="2"/>
      <c r="O3" s="2"/>
      <c r="P3" s="2"/>
      <c r="Q3" s="79" t="s">
        <v>204</v>
      </c>
    </row>
    <row r="4" spans="1:19" s="59" customFormat="1" ht="13.5" customHeight="1" x14ac:dyDescent="0.2">
      <c r="A4" s="647" t="s">
        <v>205</v>
      </c>
      <c r="B4" s="647"/>
      <c r="C4" s="647"/>
      <c r="D4" s="647"/>
      <c r="E4" s="647"/>
      <c r="F4" s="647"/>
      <c r="G4" s="647"/>
      <c r="H4" s="647"/>
      <c r="I4" s="647"/>
      <c r="J4" s="647"/>
      <c r="K4" s="647"/>
      <c r="L4" s="647"/>
      <c r="M4" s="647"/>
      <c r="N4" s="647"/>
      <c r="O4" s="647"/>
      <c r="P4" s="647"/>
      <c r="Q4" s="647"/>
      <c r="R4" s="1"/>
      <c r="S4" s="1"/>
    </row>
    <row r="5" spans="1:19" s="59" customFormat="1" ht="12.75" customHeight="1" x14ac:dyDescent="0.2">
      <c r="A5" s="647"/>
      <c r="B5" s="647"/>
      <c r="C5" s="647"/>
      <c r="D5" s="647"/>
      <c r="E5" s="647"/>
      <c r="F5" s="647"/>
      <c r="G5" s="647"/>
      <c r="H5" s="647"/>
      <c r="I5" s="647"/>
      <c r="J5" s="647"/>
      <c r="K5" s="647"/>
      <c r="L5" s="647"/>
      <c r="M5" s="647"/>
      <c r="N5" s="647"/>
      <c r="O5" s="647"/>
      <c r="P5" s="647"/>
      <c r="Q5" s="647"/>
      <c r="R5" s="1"/>
      <c r="S5" s="1"/>
    </row>
    <row r="6" spans="1:19" s="59" customFormat="1" ht="6.75" customHeight="1" x14ac:dyDescent="0.2">
      <c r="J6" s="2"/>
      <c r="K6" s="2"/>
      <c r="L6" s="2"/>
      <c r="M6" s="2"/>
      <c r="N6" s="2"/>
      <c r="O6" s="2"/>
      <c r="P6" s="2"/>
      <c r="Q6" s="2"/>
    </row>
    <row r="7" spans="1:19" s="59" customFormat="1" ht="62.25" customHeight="1" x14ac:dyDescent="0.2">
      <c r="A7" s="681" t="s">
        <v>21</v>
      </c>
      <c r="B7" s="681" t="s">
        <v>206</v>
      </c>
      <c r="C7" s="401" t="s">
        <v>207</v>
      </c>
      <c r="D7" s="401"/>
      <c r="E7" s="401" t="s">
        <v>224</v>
      </c>
      <c r="F7" s="401" t="s">
        <v>225</v>
      </c>
      <c r="G7" s="683" t="s">
        <v>69</v>
      </c>
      <c r="H7" s="684"/>
      <c r="I7" s="399" t="s">
        <v>226</v>
      </c>
      <c r="J7" s="682" t="s">
        <v>16</v>
      </c>
      <c r="K7" s="682"/>
      <c r="L7" s="682"/>
      <c r="M7" s="682"/>
      <c r="N7" s="682" t="s">
        <v>17</v>
      </c>
      <c r="O7" s="682"/>
      <c r="P7" s="682"/>
      <c r="Q7" s="682"/>
    </row>
    <row r="8" spans="1:19" s="59" customFormat="1" ht="25.5" customHeight="1" x14ac:dyDescent="0.2">
      <c r="A8" s="681"/>
      <c r="B8" s="681"/>
      <c r="C8" s="401" t="s">
        <v>21</v>
      </c>
      <c r="D8" s="401" t="s">
        <v>4</v>
      </c>
      <c r="E8" s="401"/>
      <c r="F8" s="401"/>
      <c r="G8" s="400" t="s">
        <v>3</v>
      </c>
      <c r="H8" s="400" t="s">
        <v>4</v>
      </c>
      <c r="I8" s="400"/>
      <c r="J8" s="390" t="s">
        <v>239</v>
      </c>
      <c r="K8" s="390" t="s">
        <v>240</v>
      </c>
      <c r="L8" s="390" t="s">
        <v>241</v>
      </c>
      <c r="M8" s="391" t="s">
        <v>15</v>
      </c>
      <c r="N8" s="390" t="s">
        <v>12</v>
      </c>
      <c r="O8" s="390" t="s">
        <v>13</v>
      </c>
      <c r="P8" s="390" t="s">
        <v>14</v>
      </c>
      <c r="Q8" s="391" t="s">
        <v>15</v>
      </c>
    </row>
    <row r="9" spans="1:19" s="59" customFormat="1" ht="25.5" customHeight="1" x14ac:dyDescent="0.2">
      <c r="A9" s="401"/>
      <c r="B9" s="401" t="s">
        <v>231</v>
      </c>
      <c r="C9" s="401"/>
      <c r="D9" s="401"/>
      <c r="E9" s="401" t="s">
        <v>232</v>
      </c>
      <c r="F9" s="401" t="s">
        <v>233</v>
      </c>
      <c r="G9" s="400"/>
      <c r="H9" s="400"/>
      <c r="I9" s="401" t="s">
        <v>234</v>
      </c>
      <c r="J9" s="401" t="s">
        <v>235</v>
      </c>
      <c r="K9" s="401" t="s">
        <v>236</v>
      </c>
      <c r="L9" s="402" t="s">
        <v>236</v>
      </c>
      <c r="M9" s="401"/>
      <c r="N9" s="390"/>
      <c r="O9" s="390"/>
      <c r="P9" s="390"/>
      <c r="Q9" s="401"/>
    </row>
    <row r="10" spans="1:19" ht="22.5" x14ac:dyDescent="0.2">
      <c r="A10" s="374">
        <v>1</v>
      </c>
      <c r="B10" s="389" t="s">
        <v>189</v>
      </c>
      <c r="C10" s="389" t="s">
        <v>221</v>
      </c>
      <c r="D10" s="415">
        <v>43157</v>
      </c>
      <c r="E10" s="389"/>
      <c r="F10" s="389"/>
      <c r="G10" s="389" t="s">
        <v>222</v>
      </c>
      <c r="H10" s="415">
        <v>43157</v>
      </c>
      <c r="I10" s="389"/>
      <c r="J10" s="72">
        <v>3.663003663003663E-3</v>
      </c>
      <c r="K10" s="72">
        <v>4.3103448275862068E-3</v>
      </c>
      <c r="L10" s="49">
        <f>K10*100/J10</f>
        <v>117.67241379310344</v>
      </c>
      <c r="M10" s="51" t="str">
        <f>IF(L10&lt;100,"RAZONABLEMENTE CUMPLIDO","CUMPLIDO")</f>
        <v>CUMPLIDO</v>
      </c>
      <c r="N10" s="72">
        <f>1/194399</f>
        <v>5.1440593830215173E-6</v>
      </c>
      <c r="O10" s="72">
        <f>1/164782</f>
        <v>6.0686240001941963E-6</v>
      </c>
      <c r="P10" s="39">
        <f>O10/N10*100</f>
        <v>117.97344370137517</v>
      </c>
      <c r="Q10" s="51" t="str">
        <f>IF(P10&lt;100,"RAZONABLEMENTE CUMPLIDO","CUMPLIDO")</f>
        <v>CUMPLIDO</v>
      </c>
    </row>
    <row r="11" spans="1:19" ht="21.75" customHeight="1" thickBot="1" x14ac:dyDescent="0.25">
      <c r="A11" s="374">
        <v>2</v>
      </c>
      <c r="B11" s="411" t="s">
        <v>208</v>
      </c>
      <c r="C11" s="296"/>
      <c r="D11" s="296"/>
      <c r="E11" s="296"/>
      <c r="F11" s="296"/>
      <c r="G11" s="296"/>
      <c r="H11" s="296"/>
      <c r="I11" s="296"/>
      <c r="J11" s="72">
        <v>0.02</v>
      </c>
      <c r="K11" s="72">
        <v>2.8571428571428571E-2</v>
      </c>
      <c r="L11" s="49">
        <f t="shared" ref="L11:L30" si="0">K11*100/J11</f>
        <v>142.85714285714286</v>
      </c>
      <c r="M11" s="51" t="str">
        <f>IF(L11&lt;100,"RAZONABLEMENTE CUMPLIDO","CUMPLIDO")</f>
        <v>CUMPLIDO</v>
      </c>
      <c r="N11" s="72">
        <f>1/34860</f>
        <v>2.8686173264486518E-5</v>
      </c>
      <c r="O11" s="72">
        <v>3.9184952978056429E-5</v>
      </c>
      <c r="P11" s="49">
        <f>+O11/N11*100</f>
        <v>136.59874608150471</v>
      </c>
      <c r="Q11" s="51" t="str">
        <f>IF(P11&lt;100,"RAZONABLEMENTE CUMPLIDO","CUMPLIDO")</f>
        <v>CUMPLIDO</v>
      </c>
      <c r="S11" s="392"/>
    </row>
    <row r="12" spans="1:19" ht="39" customHeight="1" thickBot="1" x14ac:dyDescent="0.25">
      <c r="A12" s="374">
        <v>3</v>
      </c>
      <c r="B12" s="412" t="s">
        <v>209</v>
      </c>
      <c r="C12" s="296"/>
      <c r="D12" s="296"/>
      <c r="E12" s="296"/>
      <c r="F12" s="296"/>
      <c r="G12" s="296"/>
      <c r="H12" s="296"/>
      <c r="I12" s="296"/>
      <c r="J12" s="72" t="s">
        <v>176</v>
      </c>
      <c r="K12" s="72" t="s">
        <v>176</v>
      </c>
      <c r="L12" s="72" t="s">
        <v>176</v>
      </c>
      <c r="M12" s="72" t="s">
        <v>176</v>
      </c>
      <c r="N12" s="72" t="s">
        <v>176</v>
      </c>
      <c r="O12" s="72" t="s">
        <v>176</v>
      </c>
      <c r="P12" s="72" t="s">
        <v>176</v>
      </c>
      <c r="Q12" s="50" t="s">
        <v>179</v>
      </c>
    </row>
    <row r="13" spans="1:19" ht="38.25" customHeight="1" thickBot="1" x14ac:dyDescent="0.25">
      <c r="A13" s="374">
        <v>4</v>
      </c>
      <c r="B13" s="411" t="s">
        <v>210</v>
      </c>
      <c r="C13" s="296"/>
      <c r="D13" s="296"/>
      <c r="E13" s="296"/>
      <c r="F13" s="296"/>
      <c r="G13" s="296"/>
      <c r="H13" s="296"/>
      <c r="I13" s="296"/>
      <c r="J13" s="72" t="s">
        <v>176</v>
      </c>
      <c r="K13" s="72" t="s">
        <v>176</v>
      </c>
      <c r="L13" s="72" t="s">
        <v>176</v>
      </c>
      <c r="M13" s="72" t="s">
        <v>176</v>
      </c>
      <c r="N13" s="72" t="s">
        <v>176</v>
      </c>
      <c r="O13" s="72" t="s">
        <v>176</v>
      </c>
      <c r="P13" s="72" t="s">
        <v>176</v>
      </c>
      <c r="Q13" s="50" t="s">
        <v>180</v>
      </c>
    </row>
    <row r="14" spans="1:19" ht="53.25" customHeight="1" thickBot="1" x14ac:dyDescent="0.25">
      <c r="A14" s="374">
        <v>5</v>
      </c>
      <c r="B14" s="396" t="s">
        <v>190</v>
      </c>
      <c r="C14" s="296" t="s">
        <v>223</v>
      </c>
      <c r="D14" s="416">
        <v>43280</v>
      </c>
      <c r="E14" s="296"/>
      <c r="F14" s="296"/>
      <c r="G14" s="296" t="s">
        <v>227</v>
      </c>
      <c r="H14" s="416">
        <v>43280</v>
      </c>
      <c r="I14" s="296"/>
      <c r="J14" s="72" t="s">
        <v>176</v>
      </c>
      <c r="K14" s="72" t="s">
        <v>176</v>
      </c>
      <c r="L14" s="72" t="s">
        <v>176</v>
      </c>
      <c r="M14" s="72" t="s">
        <v>176</v>
      </c>
      <c r="N14" s="72" t="s">
        <v>176</v>
      </c>
      <c r="O14" s="72" t="s">
        <v>176</v>
      </c>
      <c r="P14" s="72" t="s">
        <v>176</v>
      </c>
      <c r="Q14" s="50" t="s">
        <v>180</v>
      </c>
    </row>
    <row r="15" spans="1:19" ht="60.75" customHeight="1" thickBot="1" x14ac:dyDescent="0.25">
      <c r="A15" s="374">
        <v>6</v>
      </c>
      <c r="B15" s="395" t="s">
        <v>191</v>
      </c>
      <c r="C15" s="296"/>
      <c r="D15" s="296"/>
      <c r="E15" s="296"/>
      <c r="F15" s="296"/>
      <c r="G15" s="296"/>
      <c r="H15" s="296"/>
      <c r="I15" s="296"/>
      <c r="J15" s="72" t="s">
        <v>176</v>
      </c>
      <c r="K15" s="72" t="s">
        <v>176</v>
      </c>
      <c r="L15" s="72" t="s">
        <v>176</v>
      </c>
      <c r="M15" s="72" t="s">
        <v>176</v>
      </c>
      <c r="N15" s="72" t="s">
        <v>176</v>
      </c>
      <c r="O15" s="72" t="s">
        <v>176</v>
      </c>
      <c r="P15" s="72" t="s">
        <v>176</v>
      </c>
      <c r="Q15" s="50" t="s">
        <v>180</v>
      </c>
    </row>
    <row r="16" spans="1:19" ht="56.25" customHeight="1" thickBot="1" x14ac:dyDescent="0.25">
      <c r="A16" s="374">
        <v>7</v>
      </c>
      <c r="B16" s="395" t="s">
        <v>211</v>
      </c>
      <c r="C16" s="302"/>
      <c r="D16" s="302"/>
      <c r="E16" s="302"/>
      <c r="F16" s="302"/>
      <c r="G16" s="302"/>
      <c r="H16" s="302"/>
      <c r="I16" s="302"/>
      <c r="J16" s="72">
        <v>0.05</v>
      </c>
      <c r="K16" s="72">
        <v>6.6666666666666666E-2</v>
      </c>
      <c r="L16" s="49">
        <f t="shared" si="0"/>
        <v>133.33333333333334</v>
      </c>
      <c r="M16" s="51" t="str">
        <f>IF(L16&lt;100,"RAZONABLEMENTE CUMPLIDO","CUMPLIDO")</f>
        <v>CUMPLIDO</v>
      </c>
      <c r="N16" s="72">
        <v>7.7603600807077451E-5</v>
      </c>
      <c r="O16" s="72">
        <v>9.5419847328244274E-5</v>
      </c>
      <c r="P16" s="39">
        <f>O16/N16*100</f>
        <v>122.95801526717555</v>
      </c>
      <c r="Q16" s="51" t="str">
        <f>IF(P16&lt;100,"RAZONABLEMENTE CUMPLIDO","CUMPLIDO")</f>
        <v>CUMPLIDO</v>
      </c>
    </row>
    <row r="17" spans="1:17" ht="39.75" customHeight="1" thickBot="1" x14ac:dyDescent="0.25">
      <c r="A17" s="374">
        <v>8</v>
      </c>
      <c r="B17" s="396" t="s">
        <v>192</v>
      </c>
      <c r="C17" s="296"/>
      <c r="D17" s="296"/>
      <c r="E17" s="296"/>
      <c r="F17" s="296"/>
      <c r="G17" s="296"/>
      <c r="H17" s="296"/>
      <c r="I17" s="296"/>
      <c r="J17" s="72" t="s">
        <v>176</v>
      </c>
      <c r="K17" s="72" t="s">
        <v>176</v>
      </c>
      <c r="L17" s="72" t="s">
        <v>176</v>
      </c>
      <c r="M17" s="72" t="s">
        <v>176</v>
      </c>
      <c r="N17" s="72" t="s">
        <v>176</v>
      </c>
      <c r="O17" s="72" t="s">
        <v>176</v>
      </c>
      <c r="P17" s="72" t="s">
        <v>176</v>
      </c>
      <c r="Q17" s="50" t="s">
        <v>180</v>
      </c>
    </row>
    <row r="18" spans="1:17" ht="45.75" thickBot="1" x14ac:dyDescent="0.25">
      <c r="A18" s="374">
        <v>9</v>
      </c>
      <c r="B18" s="396" t="s">
        <v>212</v>
      </c>
      <c r="C18" s="304"/>
      <c r="D18" s="304"/>
      <c r="E18" s="304"/>
      <c r="F18" s="304"/>
      <c r="G18" s="304"/>
      <c r="H18" s="304"/>
      <c r="I18" s="304"/>
      <c r="J18" s="72">
        <v>0.05</v>
      </c>
      <c r="K18" s="72">
        <v>0.05</v>
      </c>
      <c r="L18" s="49">
        <f t="shared" si="0"/>
        <v>100</v>
      </c>
      <c r="M18" s="51" t="str">
        <f>IF(L18&lt;100,"RAZONABLEMENTE CUMPLIDO","CUMPLIDO")</f>
        <v>CUMPLIDO</v>
      </c>
      <c r="N18" s="72">
        <v>7.7603600807077451E-5</v>
      </c>
      <c r="O18" s="72">
        <v>1.1528706479133042E-4</v>
      </c>
      <c r="P18" s="49">
        <f>+O18/N18*100</f>
        <v>148.55891169010837</v>
      </c>
      <c r="Q18" s="51" t="str">
        <f>IF(P18&lt;100,"RAZONABLEMENTE CUMPLIDO","CUMPLIDO")</f>
        <v>CUMPLIDO</v>
      </c>
    </row>
    <row r="19" spans="1:17" ht="34.5" thickBot="1" x14ac:dyDescent="0.25">
      <c r="A19" s="374">
        <v>10</v>
      </c>
      <c r="B19" s="396" t="s">
        <v>193</v>
      </c>
      <c r="C19" s="304"/>
      <c r="D19" s="304"/>
      <c r="E19" s="304"/>
      <c r="F19" s="304"/>
      <c r="G19" s="304"/>
      <c r="H19" s="304"/>
      <c r="I19" s="304"/>
      <c r="J19" s="72" t="s">
        <v>176</v>
      </c>
      <c r="K19" s="72" t="s">
        <v>176</v>
      </c>
      <c r="L19" s="72" t="s">
        <v>176</v>
      </c>
      <c r="M19" s="72" t="s">
        <v>176</v>
      </c>
      <c r="N19" s="72" t="s">
        <v>176</v>
      </c>
      <c r="O19" s="72" t="s">
        <v>176</v>
      </c>
      <c r="P19" s="72" t="s">
        <v>176</v>
      </c>
      <c r="Q19" s="50" t="s">
        <v>180</v>
      </c>
    </row>
    <row r="20" spans="1:17" ht="68.25" thickBot="1" x14ac:dyDescent="0.25">
      <c r="A20" s="374">
        <v>11</v>
      </c>
      <c r="B20" s="396" t="s">
        <v>194</v>
      </c>
      <c r="C20" s="304"/>
      <c r="D20" s="304"/>
      <c r="E20" s="304"/>
      <c r="F20" s="304"/>
      <c r="G20" s="304"/>
      <c r="H20" s="304"/>
      <c r="I20" s="304"/>
      <c r="J20" s="72" t="s">
        <v>176</v>
      </c>
      <c r="K20" s="72" t="s">
        <v>176</v>
      </c>
      <c r="L20" s="72" t="s">
        <v>176</v>
      </c>
      <c r="M20" s="72" t="s">
        <v>176</v>
      </c>
      <c r="N20" s="72" t="s">
        <v>176</v>
      </c>
      <c r="O20" s="72" t="s">
        <v>176</v>
      </c>
      <c r="P20" s="72" t="s">
        <v>176</v>
      </c>
      <c r="Q20" s="50" t="s">
        <v>180</v>
      </c>
    </row>
    <row r="21" spans="1:17" ht="45.75" thickBot="1" x14ac:dyDescent="0.25">
      <c r="A21" s="374">
        <v>12</v>
      </c>
      <c r="B21" s="396" t="s">
        <v>213</v>
      </c>
      <c r="C21" s="305"/>
      <c r="D21" s="305"/>
      <c r="E21" s="305"/>
      <c r="F21" s="305"/>
      <c r="G21" s="305"/>
      <c r="H21" s="305"/>
      <c r="I21" s="305"/>
      <c r="J21" s="72" t="s">
        <v>176</v>
      </c>
      <c r="K21" s="72" t="s">
        <v>176</v>
      </c>
      <c r="L21" s="72" t="s">
        <v>176</v>
      </c>
      <c r="M21" s="72" t="s">
        <v>176</v>
      </c>
      <c r="N21" s="72" t="s">
        <v>176</v>
      </c>
      <c r="O21" s="72" t="s">
        <v>176</v>
      </c>
      <c r="P21" s="72" t="s">
        <v>176</v>
      </c>
      <c r="Q21" s="50" t="s">
        <v>180</v>
      </c>
    </row>
    <row r="22" spans="1:17" ht="13.5" thickBot="1" x14ac:dyDescent="0.25">
      <c r="A22" s="374">
        <v>13</v>
      </c>
      <c r="B22" s="411" t="s">
        <v>149</v>
      </c>
      <c r="C22" s="304"/>
      <c r="D22" s="304"/>
      <c r="E22" s="304"/>
      <c r="F22" s="304"/>
      <c r="G22" s="304"/>
      <c r="H22" s="304"/>
      <c r="I22" s="304"/>
      <c r="J22" s="72" t="s">
        <v>176</v>
      </c>
      <c r="K22" s="72" t="s">
        <v>176</v>
      </c>
      <c r="L22" s="72" t="s">
        <v>176</v>
      </c>
      <c r="M22" s="72" t="s">
        <v>176</v>
      </c>
      <c r="N22" s="72" t="s">
        <v>176</v>
      </c>
      <c r="O22" s="72" t="s">
        <v>176</v>
      </c>
      <c r="P22" s="72" t="s">
        <v>176</v>
      </c>
      <c r="Q22" s="50" t="s">
        <v>180</v>
      </c>
    </row>
    <row r="23" spans="1:17" ht="51" customHeight="1" thickBot="1" x14ac:dyDescent="0.25">
      <c r="A23" s="374">
        <v>14</v>
      </c>
      <c r="B23" s="396" t="s">
        <v>214</v>
      </c>
      <c r="C23" s="388" t="s">
        <v>228</v>
      </c>
      <c r="D23" s="417">
        <v>43105</v>
      </c>
      <c r="E23" s="388"/>
      <c r="F23" s="388"/>
      <c r="G23" s="388"/>
      <c r="H23" s="388"/>
      <c r="I23" s="388"/>
      <c r="J23" s="72" t="s">
        <v>176</v>
      </c>
      <c r="K23" s="72" t="s">
        <v>176</v>
      </c>
      <c r="L23" s="72" t="s">
        <v>176</v>
      </c>
      <c r="M23" s="72" t="s">
        <v>176</v>
      </c>
      <c r="N23" s="72" t="s">
        <v>176</v>
      </c>
      <c r="O23" s="72" t="s">
        <v>176</v>
      </c>
      <c r="P23" s="72" t="s">
        <v>176</v>
      </c>
      <c r="Q23" s="50" t="s">
        <v>180</v>
      </c>
    </row>
    <row r="24" spans="1:17" ht="45.75" thickBot="1" x14ac:dyDescent="0.25">
      <c r="A24" s="374">
        <v>15</v>
      </c>
      <c r="B24" s="413" t="s">
        <v>215</v>
      </c>
      <c r="C24" s="305"/>
      <c r="D24" s="305"/>
      <c r="E24" s="305"/>
      <c r="F24" s="305"/>
      <c r="G24" s="305"/>
      <c r="H24" s="305"/>
      <c r="I24" s="305"/>
      <c r="J24" s="72" t="s">
        <v>176</v>
      </c>
      <c r="K24" s="72" t="s">
        <v>176</v>
      </c>
      <c r="L24" s="72" t="s">
        <v>176</v>
      </c>
      <c r="M24" s="72" t="s">
        <v>176</v>
      </c>
      <c r="N24" s="72" t="s">
        <v>176</v>
      </c>
      <c r="O24" s="72" t="s">
        <v>176</v>
      </c>
      <c r="P24" s="72" t="s">
        <v>176</v>
      </c>
      <c r="Q24" s="50" t="s">
        <v>180</v>
      </c>
    </row>
    <row r="25" spans="1:17" s="4" customFormat="1" ht="34.5" thickBot="1" x14ac:dyDescent="0.25">
      <c r="A25" s="374">
        <v>16</v>
      </c>
      <c r="B25" s="396" t="s">
        <v>216</v>
      </c>
      <c r="C25" s="304"/>
      <c r="D25" s="304"/>
      <c r="E25" s="304"/>
      <c r="F25" s="304"/>
      <c r="G25" s="304"/>
      <c r="H25" s="304"/>
      <c r="I25" s="304"/>
      <c r="J25" s="72" t="s">
        <v>176</v>
      </c>
      <c r="K25" s="72" t="s">
        <v>176</v>
      </c>
      <c r="L25" s="72" t="s">
        <v>176</v>
      </c>
      <c r="M25" s="72" t="s">
        <v>176</v>
      </c>
      <c r="N25" s="72" t="s">
        <v>176</v>
      </c>
      <c r="O25" s="72" t="s">
        <v>176</v>
      </c>
      <c r="P25" s="72" t="s">
        <v>176</v>
      </c>
      <c r="Q25" s="50" t="s">
        <v>180</v>
      </c>
    </row>
    <row r="26" spans="1:17" s="4" customFormat="1" ht="45.75" thickBot="1" x14ac:dyDescent="0.25">
      <c r="A26" s="374">
        <v>17</v>
      </c>
      <c r="B26" s="396" t="s">
        <v>217</v>
      </c>
      <c r="C26" s="304"/>
      <c r="D26" s="304"/>
      <c r="E26" s="304"/>
      <c r="F26" s="304"/>
      <c r="G26" s="304"/>
      <c r="H26" s="304"/>
      <c r="I26" s="304"/>
      <c r="J26" s="72" t="s">
        <v>176</v>
      </c>
      <c r="K26" s="72" t="s">
        <v>176</v>
      </c>
      <c r="L26" s="72" t="s">
        <v>176</v>
      </c>
      <c r="M26" s="72" t="s">
        <v>176</v>
      </c>
      <c r="N26" s="72" t="s">
        <v>176</v>
      </c>
      <c r="O26" s="72" t="s">
        <v>176</v>
      </c>
      <c r="P26" s="72" t="s">
        <v>176</v>
      </c>
      <c r="Q26" s="50" t="s">
        <v>180</v>
      </c>
    </row>
    <row r="27" spans="1:17" s="4" customFormat="1" ht="13.5" thickBot="1" x14ac:dyDescent="0.25">
      <c r="A27" s="374">
        <v>18</v>
      </c>
      <c r="B27" s="414" t="s">
        <v>160</v>
      </c>
      <c r="C27" s="304"/>
      <c r="D27" s="304"/>
      <c r="E27" s="304"/>
      <c r="F27" s="304"/>
      <c r="G27" s="304"/>
      <c r="H27" s="304"/>
      <c r="I27" s="304"/>
      <c r="J27" s="72" t="s">
        <v>176</v>
      </c>
      <c r="K27" s="72" t="s">
        <v>176</v>
      </c>
      <c r="L27" s="72" t="s">
        <v>176</v>
      </c>
      <c r="M27" s="72" t="s">
        <v>176</v>
      </c>
      <c r="N27" s="72" t="s">
        <v>176</v>
      </c>
      <c r="O27" s="72" t="s">
        <v>176</v>
      </c>
      <c r="P27" s="72" t="s">
        <v>176</v>
      </c>
      <c r="Q27" s="50" t="s">
        <v>180</v>
      </c>
    </row>
    <row r="28" spans="1:17" s="4" customFormat="1" ht="45.75" thickBot="1" x14ac:dyDescent="0.25">
      <c r="A28" s="374">
        <v>19</v>
      </c>
      <c r="B28" s="412" t="s">
        <v>218</v>
      </c>
      <c r="C28" s="296" t="s">
        <v>229</v>
      </c>
      <c r="D28" s="416">
        <v>43196</v>
      </c>
      <c r="E28" s="304"/>
      <c r="F28" s="304"/>
      <c r="G28" s="304" t="s">
        <v>230</v>
      </c>
      <c r="H28" s="416">
        <v>43196</v>
      </c>
      <c r="I28" s="304"/>
      <c r="J28" s="72" t="s">
        <v>176</v>
      </c>
      <c r="K28" s="72" t="s">
        <v>176</v>
      </c>
      <c r="L28" s="72" t="s">
        <v>176</v>
      </c>
      <c r="M28" s="72" t="s">
        <v>176</v>
      </c>
      <c r="N28" s="72" t="s">
        <v>176</v>
      </c>
      <c r="O28" s="72" t="s">
        <v>176</v>
      </c>
      <c r="P28" s="72" t="s">
        <v>176</v>
      </c>
      <c r="Q28" s="50" t="s">
        <v>180</v>
      </c>
    </row>
    <row r="29" spans="1:17" s="4" customFormat="1" ht="0.75" customHeight="1" thickBot="1" x14ac:dyDescent="0.25">
      <c r="A29" s="374"/>
      <c r="B29" s="412" t="s">
        <v>219</v>
      </c>
      <c r="C29" s="291"/>
      <c r="D29" s="291"/>
      <c r="E29" s="291"/>
      <c r="F29" s="291"/>
      <c r="G29" s="291"/>
      <c r="H29" s="291"/>
      <c r="I29" s="291"/>
      <c r="J29" s="322"/>
      <c r="K29" s="322"/>
      <c r="L29" s="49"/>
      <c r="M29" s="322"/>
      <c r="N29" s="322"/>
      <c r="O29" s="322"/>
      <c r="P29" s="322"/>
      <c r="Q29" s="322"/>
    </row>
    <row r="30" spans="1:17" s="4" customFormat="1" ht="8.25" hidden="1" customHeight="1" x14ac:dyDescent="0.2">
      <c r="A30" s="321">
        <v>20</v>
      </c>
      <c r="B30" s="412" t="s">
        <v>220</v>
      </c>
      <c r="C30" s="307"/>
      <c r="D30" s="307"/>
      <c r="E30" s="307"/>
      <c r="F30" s="307"/>
      <c r="G30" s="307"/>
      <c r="H30" s="307"/>
      <c r="I30" s="307"/>
      <c r="J30" s="322">
        <f>1/200</f>
        <v>5.0000000000000001E-3</v>
      </c>
      <c r="K30" s="322">
        <f>1/85</f>
        <v>1.1764705882352941E-2</v>
      </c>
      <c r="L30" s="49">
        <f t="shared" si="0"/>
        <v>235.29411764705884</v>
      </c>
      <c r="M30" s="322" t="s">
        <v>173</v>
      </c>
      <c r="N30" s="322">
        <f>1/112402</f>
        <v>8.8966388498425296E-6</v>
      </c>
      <c r="O30" s="322">
        <f>1/56221</f>
        <v>1.7786947937603388E-5</v>
      </c>
      <c r="P30" s="49">
        <f t="shared" ref="P30" si="1">O30*100/N30</f>
        <v>199.92885220824959</v>
      </c>
      <c r="Q30" s="51" t="str">
        <f>IF(P30&lt;100,"RAZONABLEMENTE CUMPLIDO","CUMPLIDO")</f>
        <v>CUMPLIDO</v>
      </c>
    </row>
    <row r="31" spans="1:17" s="4" customFormat="1" ht="56.25" hidden="1" x14ac:dyDescent="0.2">
      <c r="A31" s="321">
        <v>21</v>
      </c>
      <c r="B31" s="307" t="s">
        <v>166</v>
      </c>
      <c r="C31" s="307"/>
      <c r="D31" s="307"/>
      <c r="E31" s="307"/>
      <c r="F31" s="307"/>
      <c r="G31" s="307"/>
      <c r="H31" s="307"/>
      <c r="I31" s="307"/>
      <c r="J31" s="72" t="s">
        <v>176</v>
      </c>
      <c r="K31" s="72" t="s">
        <v>176</v>
      </c>
      <c r="L31" s="72" t="s">
        <v>176</v>
      </c>
      <c r="M31" s="72" t="s">
        <v>176</v>
      </c>
      <c r="N31" s="72" t="s">
        <v>176</v>
      </c>
      <c r="O31" s="72" t="s">
        <v>176</v>
      </c>
      <c r="P31" s="72" t="s">
        <v>176</v>
      </c>
      <c r="Q31" s="50" t="s">
        <v>91</v>
      </c>
    </row>
    <row r="32" spans="1:17" ht="25.5" hidden="1" x14ac:dyDescent="0.2">
      <c r="A32" s="321">
        <v>22</v>
      </c>
      <c r="B32" s="308" t="s">
        <v>164</v>
      </c>
      <c r="C32" s="308"/>
      <c r="D32" s="308"/>
      <c r="E32" s="308"/>
      <c r="F32" s="308"/>
      <c r="G32" s="308"/>
      <c r="H32" s="308"/>
      <c r="I32" s="308"/>
      <c r="J32" s="72" t="s">
        <v>176</v>
      </c>
      <c r="K32" s="72" t="s">
        <v>176</v>
      </c>
      <c r="L32" s="72" t="s">
        <v>176</v>
      </c>
      <c r="M32" s="72" t="s">
        <v>176</v>
      </c>
      <c r="N32" s="72" t="s">
        <v>176</v>
      </c>
      <c r="O32" s="72" t="s">
        <v>176</v>
      </c>
      <c r="P32" s="72" t="s">
        <v>176</v>
      </c>
      <c r="Q32" s="50" t="s">
        <v>91</v>
      </c>
    </row>
    <row r="33" spans="1:17" ht="25.5" hidden="1" x14ac:dyDescent="0.2">
      <c r="A33" s="321">
        <v>23</v>
      </c>
      <c r="B33" s="308" t="s">
        <v>165</v>
      </c>
      <c r="C33" s="308"/>
      <c r="D33" s="308"/>
      <c r="E33" s="308"/>
      <c r="F33" s="308"/>
      <c r="G33" s="308"/>
      <c r="H33" s="308"/>
      <c r="I33" s="308"/>
      <c r="J33" s="72" t="s">
        <v>176</v>
      </c>
      <c r="K33" s="72" t="s">
        <v>176</v>
      </c>
      <c r="L33" s="72" t="s">
        <v>176</v>
      </c>
      <c r="M33" s="72" t="s">
        <v>176</v>
      </c>
      <c r="N33" s="72" t="s">
        <v>176</v>
      </c>
      <c r="O33" s="72" t="s">
        <v>176</v>
      </c>
      <c r="P33" s="72" t="s">
        <v>176</v>
      </c>
      <c r="Q33" s="50" t="s">
        <v>91</v>
      </c>
    </row>
    <row r="34" spans="1:17" x14ac:dyDescent="0.2">
      <c r="A34" s="7"/>
      <c r="B34" s="7"/>
      <c r="C34" s="7"/>
      <c r="D34" s="7"/>
      <c r="E34" s="7"/>
      <c r="F34" s="7"/>
      <c r="G34" s="7"/>
      <c r="H34" s="7"/>
      <c r="I34" s="7"/>
      <c r="J34" s="7"/>
      <c r="K34" s="7"/>
      <c r="L34" s="7"/>
      <c r="M34" s="7"/>
      <c r="N34" s="7"/>
      <c r="O34" s="7"/>
      <c r="P34" s="7"/>
      <c r="Q34" s="7"/>
    </row>
  </sheetData>
  <mergeCells count="7">
    <mergeCell ref="A4:Q4"/>
    <mergeCell ref="A5:Q5"/>
    <mergeCell ref="A7:A8"/>
    <mergeCell ref="B7:B8"/>
    <mergeCell ref="J7:M7"/>
    <mergeCell ref="N7:Q7"/>
    <mergeCell ref="G7:H7"/>
  </mergeCells>
  <printOptions horizontalCentered="1"/>
  <pageMargins left="0.78740157480314965" right="0.19685039370078741" top="0.59055118110236227" bottom="0.59055118110236227" header="0.15748031496062992" footer="0"/>
  <pageSetup scale="51"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Q44"/>
  <sheetViews>
    <sheetView tabSelected="1" topLeftCell="A10" zoomScaleNormal="100" workbookViewId="0">
      <selection activeCell="B16" sqref="B16"/>
    </sheetView>
  </sheetViews>
  <sheetFormatPr baseColWidth="10" defaultRowHeight="12.75" x14ac:dyDescent="0.2"/>
  <cols>
    <col min="1" max="1" width="3.5703125" customWidth="1"/>
    <col min="2" max="2" width="42.42578125" customWidth="1"/>
    <col min="3" max="3" width="13.42578125" customWidth="1"/>
    <col min="4" max="4" width="13.85546875" customWidth="1"/>
    <col min="5" max="5" width="15.5703125" customWidth="1"/>
    <col min="6" max="6" width="11.5703125" customWidth="1"/>
    <col min="7" max="7" width="13" customWidth="1"/>
    <col min="8" max="8" width="11.5703125" customWidth="1"/>
    <col min="9" max="9" width="12.42578125" customWidth="1"/>
    <col min="10" max="11" width="12.5703125" style="59" customWidth="1"/>
    <col min="12" max="12" width="9.42578125" style="59" customWidth="1"/>
    <col min="13" max="13" width="12.5703125" style="59" customWidth="1"/>
    <col min="14" max="14" width="12.42578125" style="59" customWidth="1"/>
    <col min="15" max="15" width="13.7109375" style="59" customWidth="1"/>
    <col min="16" max="17" width="12.42578125" bestFit="1" customWidth="1"/>
  </cols>
  <sheetData>
    <row r="1" spans="1:17" s="59" customFormat="1" x14ac:dyDescent="0.2">
      <c r="A1" s="31" t="s">
        <v>22</v>
      </c>
      <c r="B1" s="31"/>
      <c r="C1" s="31"/>
      <c r="D1" s="31"/>
      <c r="E1" s="31"/>
      <c r="F1" s="31"/>
      <c r="G1" s="31"/>
      <c r="H1" s="31"/>
      <c r="I1" s="31"/>
      <c r="J1" s="30"/>
      <c r="K1" s="30"/>
      <c r="M1" s="2"/>
      <c r="N1" s="2"/>
      <c r="O1" s="2"/>
    </row>
    <row r="2" spans="1:17" s="59" customFormat="1" x14ac:dyDescent="0.2">
      <c r="A2" s="31" t="s">
        <v>11</v>
      </c>
      <c r="B2" s="31"/>
      <c r="C2" s="31"/>
      <c r="D2" s="31"/>
      <c r="E2" s="31"/>
      <c r="F2" s="31"/>
      <c r="G2" s="31"/>
      <c r="H2" s="31"/>
      <c r="I2" s="31"/>
      <c r="J2" s="30"/>
      <c r="K2" s="30"/>
      <c r="M2" s="2"/>
      <c r="N2" s="2"/>
      <c r="O2" s="2"/>
    </row>
    <row r="3" spans="1:17" s="59" customFormat="1" ht="15" x14ac:dyDescent="0.25">
      <c r="A3" s="499"/>
      <c r="B3" s="499"/>
      <c r="C3" s="499"/>
      <c r="D3" s="499"/>
      <c r="E3" s="499"/>
      <c r="F3" s="499"/>
      <c r="G3" s="499"/>
      <c r="H3" s="499"/>
      <c r="I3" s="499"/>
      <c r="J3" s="500"/>
      <c r="K3" s="501"/>
      <c r="L3" s="501"/>
      <c r="M3" s="503"/>
      <c r="N3" s="502" t="s">
        <v>290</v>
      </c>
      <c r="O3" s="503"/>
    </row>
    <row r="4" spans="1:17" s="59" customFormat="1" ht="13.5" customHeight="1" x14ac:dyDescent="0.2">
      <c r="A4" s="720" t="s">
        <v>277</v>
      </c>
      <c r="B4" s="720"/>
      <c r="C4" s="720"/>
      <c r="D4" s="720"/>
      <c r="E4" s="720"/>
      <c r="F4" s="720"/>
      <c r="G4" s="720"/>
      <c r="H4" s="720"/>
      <c r="I4" s="720"/>
      <c r="J4" s="720"/>
      <c r="K4" s="720"/>
      <c r="L4" s="720"/>
      <c r="M4" s="720"/>
      <c r="N4" s="720"/>
      <c r="O4" s="720"/>
      <c r="P4" s="1"/>
      <c r="Q4" s="1"/>
    </row>
    <row r="5" spans="1:17" s="59" customFormat="1" ht="13.5" customHeight="1" x14ac:dyDescent="0.2">
      <c r="A5" s="466"/>
      <c r="B5" s="466"/>
      <c r="C5" s="466"/>
      <c r="D5" s="466"/>
      <c r="E5" s="466"/>
      <c r="F5" s="466"/>
      <c r="G5" s="466"/>
      <c r="H5" s="466"/>
      <c r="I5" s="466"/>
      <c r="J5" s="466"/>
      <c r="K5" s="466"/>
      <c r="L5" s="466"/>
      <c r="M5" s="466"/>
      <c r="N5" s="466"/>
      <c r="O5" s="466"/>
      <c r="P5" s="1"/>
      <c r="Q5" s="1"/>
    </row>
    <row r="6" spans="1:17" s="59" customFormat="1" ht="44.25" customHeight="1" x14ac:dyDescent="0.2">
      <c r="A6" s="721" t="s">
        <v>21</v>
      </c>
      <c r="B6" s="721" t="s">
        <v>206</v>
      </c>
      <c r="C6" s="724" t="s">
        <v>207</v>
      </c>
      <c r="D6" s="724"/>
      <c r="E6" s="725" t="s">
        <v>224</v>
      </c>
      <c r="F6" s="725" t="s">
        <v>225</v>
      </c>
      <c r="G6" s="723" t="s">
        <v>69</v>
      </c>
      <c r="H6" s="723"/>
      <c r="I6" s="727" t="s">
        <v>226</v>
      </c>
      <c r="J6" s="719" t="s">
        <v>272</v>
      </c>
      <c r="K6" s="719"/>
      <c r="L6" s="725" t="s">
        <v>241</v>
      </c>
      <c r="M6" s="719" t="s">
        <v>273</v>
      </c>
      <c r="N6" s="719"/>
      <c r="O6" s="725" t="s">
        <v>280</v>
      </c>
    </row>
    <row r="7" spans="1:17" s="59" customFormat="1" ht="33.75" customHeight="1" x14ac:dyDescent="0.2">
      <c r="A7" s="722"/>
      <c r="B7" s="722"/>
      <c r="C7" s="726" t="s">
        <v>21</v>
      </c>
      <c r="D7" s="726" t="s">
        <v>4</v>
      </c>
      <c r="E7" s="726"/>
      <c r="F7" s="726"/>
      <c r="G7" s="726" t="s">
        <v>270</v>
      </c>
      <c r="H7" s="726" t="s">
        <v>4</v>
      </c>
      <c r="I7" s="728"/>
      <c r="J7" s="519" t="s">
        <v>271</v>
      </c>
      <c r="K7" s="519" t="s">
        <v>19</v>
      </c>
      <c r="L7" s="726"/>
      <c r="M7" s="599" t="s">
        <v>271</v>
      </c>
      <c r="N7" s="599" t="s">
        <v>19</v>
      </c>
      <c r="O7" s="726"/>
    </row>
    <row r="8" spans="1:17" s="59" customFormat="1" ht="15" customHeight="1" x14ac:dyDescent="0.2">
      <c r="A8" s="730"/>
      <c r="B8" s="504" t="s">
        <v>231</v>
      </c>
      <c r="C8" s="729"/>
      <c r="D8" s="729"/>
      <c r="E8" s="504" t="s">
        <v>232</v>
      </c>
      <c r="F8" s="504" t="s">
        <v>233</v>
      </c>
      <c r="G8" s="729"/>
      <c r="H8" s="729"/>
      <c r="I8" s="504" t="s">
        <v>234</v>
      </c>
      <c r="J8" s="504" t="s">
        <v>235</v>
      </c>
      <c r="K8" s="504" t="s">
        <v>236</v>
      </c>
      <c r="L8" s="504" t="s">
        <v>242</v>
      </c>
      <c r="M8" s="600" t="s">
        <v>243</v>
      </c>
      <c r="N8" s="600" t="s">
        <v>244</v>
      </c>
      <c r="O8" s="504" t="s">
        <v>245</v>
      </c>
    </row>
    <row r="9" spans="1:17" ht="18" customHeight="1" x14ac:dyDescent="0.2">
      <c r="A9" s="713">
        <v>1</v>
      </c>
      <c r="B9" s="540" t="s">
        <v>320</v>
      </c>
      <c r="C9" s="690" t="s">
        <v>292</v>
      </c>
      <c r="D9" s="707">
        <v>43522</v>
      </c>
      <c r="E9" s="513"/>
      <c r="F9" s="690" t="s">
        <v>89</v>
      </c>
      <c r="G9" s="692" t="s">
        <v>293</v>
      </c>
      <c r="H9" s="694">
        <v>43522</v>
      </c>
      <c r="I9" s="690" t="s">
        <v>276</v>
      </c>
      <c r="J9" s="685">
        <v>3.4843205574912892E-3</v>
      </c>
      <c r="K9" s="685">
        <v>3.4843205574912892E-3</v>
      </c>
      <c r="L9" s="510">
        <f>K9*100/J9</f>
        <v>100</v>
      </c>
      <c r="M9" s="685">
        <f>1/216553</f>
        <v>4.6178071880786693E-6</v>
      </c>
      <c r="N9" s="685">
        <f>1/202084</f>
        <v>4.948437283505869E-6</v>
      </c>
      <c r="O9" s="529">
        <f>N9/M9*100</f>
        <v>107.15989390550465</v>
      </c>
    </row>
    <row r="10" spans="1:17" ht="59.25" customHeight="1" x14ac:dyDescent="0.2">
      <c r="A10" s="714"/>
      <c r="B10" s="537" t="s">
        <v>291</v>
      </c>
      <c r="C10" s="691"/>
      <c r="D10" s="699"/>
      <c r="E10" s="514"/>
      <c r="F10" s="691"/>
      <c r="G10" s="693"/>
      <c r="H10" s="695"/>
      <c r="I10" s="691"/>
      <c r="J10" s="686"/>
      <c r="K10" s="686"/>
      <c r="L10" s="539" t="s">
        <v>279</v>
      </c>
      <c r="M10" s="686"/>
      <c r="N10" s="686"/>
      <c r="O10" s="539" t="s">
        <v>278</v>
      </c>
    </row>
    <row r="11" spans="1:17" ht="17.25" customHeight="1" x14ac:dyDescent="0.2">
      <c r="A11" s="485"/>
      <c r="B11" s="496" t="s">
        <v>208</v>
      </c>
      <c r="C11" s="465"/>
      <c r="D11" s="464"/>
      <c r="E11" s="464"/>
      <c r="F11" s="582"/>
      <c r="G11" s="564"/>
      <c r="H11" s="564"/>
      <c r="I11" s="464"/>
      <c r="J11" s="493"/>
      <c r="K11" s="493"/>
      <c r="L11" s="530"/>
      <c r="M11" s="493"/>
      <c r="N11" s="493"/>
      <c r="O11" s="530"/>
      <c r="Q11" s="392"/>
    </row>
    <row r="12" spans="1:17" ht="29.25" customHeight="1" x14ac:dyDescent="0.2">
      <c r="A12" s="687">
        <v>2</v>
      </c>
      <c r="B12" s="715" t="s">
        <v>209</v>
      </c>
      <c r="C12" s="582" t="s">
        <v>294</v>
      </c>
      <c r="D12" s="525">
        <v>43642</v>
      </c>
      <c r="E12" s="717"/>
      <c r="F12" s="578" t="s">
        <v>89</v>
      </c>
      <c r="G12" s="696" t="s">
        <v>25</v>
      </c>
      <c r="H12" s="698" t="s">
        <v>130</v>
      </c>
      <c r="I12" s="511" t="s">
        <v>276</v>
      </c>
      <c r="J12" s="512">
        <v>1.6666666666666666E-2</v>
      </c>
      <c r="K12" s="512">
        <v>1.9607843137254902E-2</v>
      </c>
      <c r="L12" s="511">
        <f>K12*100/J12</f>
        <v>117.64705882352941</v>
      </c>
      <c r="M12" s="575">
        <f>1/39295</f>
        <v>2.5448530347372441E-5</v>
      </c>
      <c r="N12" s="575">
        <f>1/40902</f>
        <v>2.4448682216028556E-5</v>
      </c>
      <c r="O12" s="536">
        <f>N12/M12*100</f>
        <v>96.0710967678842</v>
      </c>
      <c r="Q12" s="392"/>
    </row>
    <row r="13" spans="1:17" ht="9.75" customHeight="1" x14ac:dyDescent="0.2">
      <c r="A13" s="688"/>
      <c r="B13" s="716"/>
      <c r="C13" s="583"/>
      <c r="D13" s="515"/>
      <c r="E13" s="697"/>
      <c r="F13" s="577"/>
      <c r="G13" s="697"/>
      <c r="H13" s="699"/>
      <c r="I13" s="509"/>
      <c r="J13" s="516"/>
      <c r="K13" s="516"/>
      <c r="L13" s="509" t="s">
        <v>279</v>
      </c>
      <c r="M13" s="576"/>
      <c r="N13" s="576"/>
      <c r="O13" s="509" t="s">
        <v>278</v>
      </c>
      <c r="Q13" s="392"/>
    </row>
    <row r="14" spans="1:17" ht="17.25" customHeight="1" x14ac:dyDescent="0.2">
      <c r="A14" s="560"/>
      <c r="B14" s="561" t="s">
        <v>295</v>
      </c>
      <c r="C14" s="465"/>
      <c r="D14" s="562"/>
      <c r="E14" s="563"/>
      <c r="F14" s="535"/>
      <c r="G14" s="604"/>
      <c r="H14" s="526"/>
      <c r="I14" s="509"/>
      <c r="J14" s="516"/>
      <c r="K14" s="524"/>
      <c r="L14" s="509"/>
      <c r="M14" s="576"/>
      <c r="N14" s="576"/>
      <c r="O14" s="531"/>
      <c r="Q14" s="392"/>
    </row>
    <row r="15" spans="1:17" ht="31.5" customHeight="1" x14ac:dyDescent="0.2">
      <c r="A15" s="489">
        <v>3</v>
      </c>
      <c r="B15" s="544" t="s">
        <v>312</v>
      </c>
      <c r="C15" s="626" t="s">
        <v>328</v>
      </c>
      <c r="D15" s="597">
        <v>43830</v>
      </c>
      <c r="E15" s="630"/>
      <c r="F15" s="578" t="s">
        <v>89</v>
      </c>
      <c r="G15" s="630" t="s">
        <v>329</v>
      </c>
      <c r="H15" s="597">
        <v>43830</v>
      </c>
      <c r="I15" s="631" t="s">
        <v>276</v>
      </c>
      <c r="J15" s="575">
        <v>0.02</v>
      </c>
      <c r="K15" s="632">
        <v>0.02</v>
      </c>
      <c r="L15" s="511">
        <v>100</v>
      </c>
      <c r="M15" s="632">
        <v>2.8212699999999998E-5</v>
      </c>
      <c r="N15" s="575">
        <f>1/25450</f>
        <v>3.929273084479371E-5</v>
      </c>
      <c r="O15" s="596">
        <v>139</v>
      </c>
      <c r="Q15" s="392"/>
    </row>
    <row r="16" spans="1:17" ht="14.25" customHeight="1" x14ac:dyDescent="0.2">
      <c r="A16" s="559"/>
      <c r="B16" s="544"/>
      <c r="C16" s="626"/>
      <c r="D16" s="593"/>
      <c r="E16" s="627"/>
      <c r="F16" s="577"/>
      <c r="G16" s="627"/>
      <c r="H16" s="593"/>
      <c r="I16" s="628"/>
      <c r="J16" s="576"/>
      <c r="K16" s="629"/>
      <c r="L16" s="509"/>
      <c r="M16" s="629"/>
      <c r="N16" s="576"/>
      <c r="O16" s="509" t="s">
        <v>278</v>
      </c>
      <c r="Q16" s="392"/>
    </row>
    <row r="17" spans="1:17" ht="26.25" customHeight="1" x14ac:dyDescent="0.2">
      <c r="A17" s="689">
        <v>4</v>
      </c>
      <c r="B17" s="702" t="s">
        <v>310</v>
      </c>
      <c r="C17" s="582" t="s">
        <v>296</v>
      </c>
      <c r="D17" s="534">
        <v>43644</v>
      </c>
      <c r="E17" s="703"/>
      <c r="F17" s="520" t="s">
        <v>89</v>
      </c>
      <c r="G17" s="703" t="s">
        <v>327</v>
      </c>
      <c r="H17" s="704">
        <v>43644</v>
      </c>
      <c r="I17" s="510" t="s">
        <v>276</v>
      </c>
      <c r="J17" s="528">
        <v>1.8181818181818181E-2</v>
      </c>
      <c r="K17" s="528">
        <v>1.8181818181818181E-2</v>
      </c>
      <c r="L17" s="510">
        <f>K17*100/J17</f>
        <v>100</v>
      </c>
      <c r="M17" s="635">
        <f>1/38790</f>
        <v>2.5779840164990976E-5</v>
      </c>
      <c r="N17" s="635">
        <f>1/36080</f>
        <v>2.7716186252771619E-5</v>
      </c>
      <c r="O17" s="529">
        <f>N17/M17*100</f>
        <v>107.51108647450111</v>
      </c>
      <c r="Q17" s="392"/>
    </row>
    <row r="18" spans="1:17" ht="9.75" customHeight="1" x14ac:dyDescent="0.2">
      <c r="A18" s="689"/>
      <c r="B18" s="702"/>
      <c r="C18" s="583"/>
      <c r="D18" s="526"/>
      <c r="E18" s="697"/>
      <c r="F18" s="521"/>
      <c r="G18" s="697"/>
      <c r="H18" s="705"/>
      <c r="I18" s="509"/>
      <c r="J18" s="516"/>
      <c r="K18" s="527"/>
      <c r="L18" s="509" t="s">
        <v>279</v>
      </c>
      <c r="M18" s="576"/>
      <c r="N18" s="576"/>
      <c r="O18" s="509" t="s">
        <v>278</v>
      </c>
      <c r="Q18" s="392"/>
    </row>
    <row r="19" spans="1:17" ht="12.75" customHeight="1" x14ac:dyDescent="0.2">
      <c r="A19" s="485"/>
      <c r="B19" s="641" t="s">
        <v>210</v>
      </c>
      <c r="C19" s="547"/>
      <c r="D19" s="546"/>
      <c r="E19" s="545"/>
      <c r="F19" s="547"/>
      <c r="G19" s="565"/>
      <c r="H19" s="566"/>
      <c r="I19" s="545"/>
      <c r="J19" s="543"/>
      <c r="K19" s="543"/>
      <c r="L19" s="532"/>
      <c r="M19" s="636"/>
      <c r="N19" s="636"/>
      <c r="O19" s="533"/>
    </row>
    <row r="20" spans="1:17" ht="79.5" customHeight="1" x14ac:dyDescent="0.2">
      <c r="A20" s="601">
        <v>5</v>
      </c>
      <c r="B20" s="634" t="s">
        <v>314</v>
      </c>
      <c r="C20" s="633" t="s">
        <v>325</v>
      </c>
      <c r="D20" s="595">
        <v>43818</v>
      </c>
      <c r="E20" s="594"/>
      <c r="F20" s="590" t="s">
        <v>89</v>
      </c>
      <c r="G20" s="594" t="s">
        <v>326</v>
      </c>
      <c r="H20" s="595">
        <v>43818</v>
      </c>
      <c r="I20" s="590" t="s">
        <v>276</v>
      </c>
      <c r="J20" s="610">
        <v>1.2500000000000001E-2</v>
      </c>
      <c r="K20" s="610">
        <v>1.4285714E-2</v>
      </c>
      <c r="L20" s="491">
        <f>K20*100/J20</f>
        <v>114.285712</v>
      </c>
      <c r="M20" s="588">
        <v>1.8131E-5</v>
      </c>
      <c r="N20" s="642">
        <v>1.7436799999999999E-5</v>
      </c>
      <c r="O20" s="596">
        <v>97</v>
      </c>
    </row>
    <row r="21" spans="1:17" ht="15.75" customHeight="1" x14ac:dyDescent="0.2">
      <c r="A21" s="589"/>
      <c r="B21" s="640"/>
      <c r="C21" s="625"/>
      <c r="D21" s="592"/>
      <c r="E21" s="607"/>
      <c r="F21" s="591"/>
      <c r="G21" s="607"/>
      <c r="H21" s="592"/>
      <c r="I21" s="625"/>
      <c r="J21" s="587"/>
      <c r="K21" s="609"/>
      <c r="L21" s="539" t="s">
        <v>279</v>
      </c>
      <c r="M21" s="637"/>
      <c r="N21" s="638"/>
      <c r="O21" s="509" t="s">
        <v>278</v>
      </c>
    </row>
    <row r="22" spans="1:17" ht="51.75" customHeight="1" x14ac:dyDescent="0.2">
      <c r="A22" s="598">
        <v>6</v>
      </c>
      <c r="B22" s="548" t="s">
        <v>192</v>
      </c>
      <c r="C22" s="547" t="s">
        <v>311</v>
      </c>
      <c r="D22" s="547" t="s">
        <v>311</v>
      </c>
      <c r="E22" s="547" t="s">
        <v>311</v>
      </c>
      <c r="F22" s="547" t="s">
        <v>90</v>
      </c>
      <c r="G22" s="547" t="s">
        <v>311</v>
      </c>
      <c r="H22" s="547" t="s">
        <v>311</v>
      </c>
      <c r="I22" s="547" t="s">
        <v>311</v>
      </c>
      <c r="J22" s="547" t="s">
        <v>311</v>
      </c>
      <c r="K22" s="547" t="s">
        <v>311</v>
      </c>
      <c r="L22" s="590" t="s">
        <v>311</v>
      </c>
      <c r="M22" s="590" t="s">
        <v>311</v>
      </c>
      <c r="N22" s="590" t="s">
        <v>311</v>
      </c>
      <c r="O22" s="547" t="s">
        <v>311</v>
      </c>
    </row>
    <row r="23" spans="1:17" ht="44.25" customHeight="1" x14ac:dyDescent="0.2">
      <c r="A23" s="541">
        <v>7</v>
      </c>
      <c r="B23" s="549" t="s">
        <v>313</v>
      </c>
      <c r="C23" s="590" t="s">
        <v>311</v>
      </c>
      <c r="D23" s="590" t="s">
        <v>311</v>
      </c>
      <c r="E23" s="590" t="s">
        <v>311</v>
      </c>
      <c r="F23" s="465" t="s">
        <v>90</v>
      </c>
      <c r="G23" s="590" t="s">
        <v>311</v>
      </c>
      <c r="H23" s="590" t="s">
        <v>311</v>
      </c>
      <c r="I23" s="590" t="s">
        <v>311</v>
      </c>
      <c r="J23" s="590" t="s">
        <v>311</v>
      </c>
      <c r="K23" s="590" t="s">
        <v>311</v>
      </c>
      <c r="L23" s="590" t="s">
        <v>311</v>
      </c>
      <c r="M23" s="590" t="s">
        <v>311</v>
      </c>
      <c r="N23" s="590" t="s">
        <v>311</v>
      </c>
      <c r="O23" s="590" t="s">
        <v>311</v>
      </c>
    </row>
    <row r="24" spans="1:17" ht="37.5" customHeight="1" x14ac:dyDescent="0.2">
      <c r="A24" s="522">
        <v>8</v>
      </c>
      <c r="B24" s="523" t="s">
        <v>297</v>
      </c>
      <c r="C24" s="590" t="s">
        <v>311</v>
      </c>
      <c r="D24" s="590" t="s">
        <v>311</v>
      </c>
      <c r="E24" s="590" t="s">
        <v>311</v>
      </c>
      <c r="F24" s="578" t="s">
        <v>90</v>
      </c>
      <c r="G24" s="590" t="s">
        <v>311</v>
      </c>
      <c r="H24" s="590" t="s">
        <v>311</v>
      </c>
      <c r="I24" s="590" t="s">
        <v>311</v>
      </c>
      <c r="J24" s="590" t="s">
        <v>311</v>
      </c>
      <c r="K24" s="590" t="s">
        <v>311</v>
      </c>
      <c r="L24" s="590" t="s">
        <v>311</v>
      </c>
      <c r="M24" s="590" t="s">
        <v>311</v>
      </c>
      <c r="N24" s="590" t="s">
        <v>311</v>
      </c>
      <c r="O24" s="590" t="s">
        <v>311</v>
      </c>
    </row>
    <row r="25" spans="1:17" ht="17.25" customHeight="1" x14ac:dyDescent="0.2">
      <c r="A25" s="489"/>
      <c r="B25" s="470" t="s">
        <v>149</v>
      </c>
      <c r="C25" s="621"/>
      <c r="D25" s="542"/>
      <c r="E25" s="542"/>
      <c r="F25" s="550"/>
      <c r="G25" s="568"/>
      <c r="H25" s="568"/>
      <c r="I25" s="542"/>
      <c r="J25" s="551"/>
      <c r="K25" s="551"/>
      <c r="L25" s="552"/>
      <c r="M25" s="610"/>
      <c r="N25" s="556"/>
      <c r="O25" s="551"/>
    </row>
    <row r="26" spans="1:17" ht="30" customHeight="1" x14ac:dyDescent="0.2">
      <c r="A26" s="489"/>
      <c r="B26" s="548" t="s">
        <v>315</v>
      </c>
      <c r="C26" s="621"/>
      <c r="D26" s="615"/>
      <c r="E26" s="542"/>
      <c r="F26" s="555"/>
      <c r="G26" s="568"/>
      <c r="H26" s="569"/>
      <c r="I26" s="542"/>
      <c r="J26" s="556"/>
      <c r="K26" s="551"/>
      <c r="L26" s="556"/>
      <c r="M26" s="610"/>
      <c r="N26" s="556"/>
      <c r="O26" s="551"/>
    </row>
    <row r="27" spans="1:17" ht="17.25" customHeight="1" x14ac:dyDescent="0.2">
      <c r="A27" s="558">
        <v>9</v>
      </c>
      <c r="B27" s="557" t="s">
        <v>316</v>
      </c>
      <c r="C27" s="622" t="s">
        <v>321</v>
      </c>
      <c r="D27" s="616">
        <v>43710</v>
      </c>
      <c r="E27" s="505"/>
      <c r="F27" s="553"/>
      <c r="G27" s="706" t="s">
        <v>130</v>
      </c>
      <c r="H27" s="704" t="s">
        <v>130</v>
      </c>
      <c r="I27" s="605"/>
      <c r="J27" s="554"/>
      <c r="K27" s="543"/>
      <c r="L27" s="554"/>
      <c r="M27" s="586"/>
      <c r="N27" s="554"/>
      <c r="O27" s="543"/>
    </row>
    <row r="28" spans="1:17" ht="17.25" customHeight="1" x14ac:dyDescent="0.2">
      <c r="A28" s="558"/>
      <c r="B28" s="557" t="s">
        <v>317</v>
      </c>
      <c r="C28" s="622" t="s">
        <v>322</v>
      </c>
      <c r="D28" s="616">
        <v>43710</v>
      </c>
      <c r="E28" s="505"/>
      <c r="F28" s="572" t="s">
        <v>89</v>
      </c>
      <c r="G28" s="706"/>
      <c r="H28" s="704"/>
      <c r="I28" s="606" t="s">
        <v>276</v>
      </c>
      <c r="J28" s="554">
        <v>2.0833332999999999E-2</v>
      </c>
      <c r="K28" s="490">
        <v>2.3809523999999999E-2</v>
      </c>
      <c r="L28" s="491">
        <f t="shared" ref="L28" si="0">+K28*100/J28</f>
        <v>114.28571702857148</v>
      </c>
      <c r="M28" s="614">
        <f>1/25396</f>
        <v>3.9376279729091192E-5</v>
      </c>
      <c r="N28" s="554">
        <v>3.85892E-5</v>
      </c>
      <c r="O28" s="613">
        <v>98</v>
      </c>
    </row>
    <row r="29" spans="1:17" ht="17.25" customHeight="1" x14ac:dyDescent="0.2">
      <c r="A29" s="558"/>
      <c r="B29" s="557" t="s">
        <v>318</v>
      </c>
      <c r="C29" s="622" t="s">
        <v>324</v>
      </c>
      <c r="D29" s="616">
        <v>43710</v>
      </c>
      <c r="E29" s="505"/>
      <c r="F29" s="553"/>
      <c r="G29" s="704"/>
      <c r="H29" s="704"/>
      <c r="I29" s="505"/>
      <c r="J29" s="554"/>
      <c r="K29" s="490"/>
      <c r="L29" s="491"/>
      <c r="M29" s="614"/>
      <c r="N29" s="554"/>
      <c r="O29" s="584"/>
    </row>
    <row r="30" spans="1:17" ht="17.25" customHeight="1" x14ac:dyDescent="0.2">
      <c r="A30" s="559"/>
      <c r="B30" s="607" t="s">
        <v>319</v>
      </c>
      <c r="C30" s="623" t="s">
        <v>323</v>
      </c>
      <c r="D30" s="617">
        <v>43710</v>
      </c>
      <c r="E30" s="574"/>
      <c r="F30" s="608"/>
      <c r="G30" s="705"/>
      <c r="H30" s="705"/>
      <c r="I30" s="574"/>
      <c r="J30" s="609"/>
      <c r="K30" s="585"/>
      <c r="L30" s="539" t="s">
        <v>279</v>
      </c>
      <c r="M30" s="587"/>
      <c r="N30" s="609"/>
      <c r="O30" s="587" t="s">
        <v>330</v>
      </c>
    </row>
    <row r="31" spans="1:17" ht="51" customHeight="1" x14ac:dyDescent="0.2">
      <c r="A31" s="689">
        <v>10</v>
      </c>
      <c r="B31" s="711" t="s">
        <v>307</v>
      </c>
      <c r="C31" s="700" t="s">
        <v>308</v>
      </c>
      <c r="D31" s="618">
        <v>43565</v>
      </c>
      <c r="E31" s="573"/>
      <c r="F31" s="708" t="s">
        <v>89</v>
      </c>
      <c r="G31" s="698" t="s">
        <v>130</v>
      </c>
      <c r="H31" s="698" t="s">
        <v>130</v>
      </c>
      <c r="I31" s="708" t="s">
        <v>276</v>
      </c>
      <c r="J31" s="551">
        <v>2.0833333333333332E-2</v>
      </c>
      <c r="K31" s="551">
        <v>3.8461538461538464E-2</v>
      </c>
      <c r="L31" s="611">
        <f>+K31*100/J31</f>
        <v>184.61538461538464</v>
      </c>
      <c r="M31" s="610">
        <v>3.9376279729091192E-5</v>
      </c>
      <c r="N31" s="552">
        <v>3.2627491924695746E-5</v>
      </c>
      <c r="O31" s="611">
        <f>N31/M31*100</f>
        <v>82.860778491957319</v>
      </c>
    </row>
    <row r="32" spans="1:17" ht="9.75" customHeight="1" x14ac:dyDescent="0.2">
      <c r="A32" s="688"/>
      <c r="B32" s="712"/>
      <c r="C32" s="701"/>
      <c r="D32" s="619"/>
      <c r="E32" s="574"/>
      <c r="F32" s="691"/>
      <c r="G32" s="699"/>
      <c r="H32" s="699"/>
      <c r="I32" s="691"/>
      <c r="J32" s="585"/>
      <c r="K32" s="585"/>
      <c r="L32" s="539" t="s">
        <v>279</v>
      </c>
      <c r="M32" s="587"/>
      <c r="N32" s="612"/>
      <c r="O32" s="539" t="s">
        <v>278</v>
      </c>
    </row>
    <row r="33" spans="1:15" ht="44.25" customHeight="1" x14ac:dyDescent="0.2">
      <c r="A33" s="687">
        <v>11</v>
      </c>
      <c r="B33" s="709" t="s">
        <v>306</v>
      </c>
      <c r="C33" s="700" t="s">
        <v>309</v>
      </c>
      <c r="D33" s="618">
        <v>43556</v>
      </c>
      <c r="E33" s="700"/>
      <c r="F33" s="708" t="s">
        <v>89</v>
      </c>
      <c r="G33" s="698" t="s">
        <v>130</v>
      </c>
      <c r="H33" s="698" t="s">
        <v>130</v>
      </c>
      <c r="I33" s="690" t="s">
        <v>276</v>
      </c>
      <c r="J33" s="718">
        <v>2.0833333333333332E-2</v>
      </c>
      <c r="K33" s="718">
        <v>2.2727272727272728E-2</v>
      </c>
      <c r="L33" s="611">
        <f>+K33*100/J33</f>
        <v>109.09090909090911</v>
      </c>
      <c r="M33" s="575">
        <f>1/25396</f>
        <v>3.9376279729091192E-5</v>
      </c>
      <c r="N33" s="512">
        <f>1/35222</f>
        <v>2.8391346317642383E-5</v>
      </c>
      <c r="O33" s="491">
        <f>N33/M33*100</f>
        <v>72.102663108284602</v>
      </c>
    </row>
    <row r="34" spans="1:15" ht="28.5" customHeight="1" x14ac:dyDescent="0.2">
      <c r="A34" s="689"/>
      <c r="B34" s="710"/>
      <c r="C34" s="701"/>
      <c r="D34" s="619"/>
      <c r="E34" s="701"/>
      <c r="F34" s="691"/>
      <c r="G34" s="699"/>
      <c r="H34" s="699"/>
      <c r="I34" s="691"/>
      <c r="J34" s="686"/>
      <c r="K34" s="686"/>
      <c r="L34" s="539" t="s">
        <v>279</v>
      </c>
      <c r="M34" s="587"/>
      <c r="N34" s="612"/>
      <c r="O34" s="577" t="s">
        <v>331</v>
      </c>
    </row>
    <row r="35" spans="1:15" s="4" customFormat="1" ht="12.75" customHeight="1" x14ac:dyDescent="0.2">
      <c r="A35" s="489"/>
      <c r="B35" s="472" t="s">
        <v>160</v>
      </c>
      <c r="C35" s="622"/>
      <c r="D35" s="620"/>
      <c r="E35" s="497"/>
      <c r="F35" s="498"/>
      <c r="G35" s="570"/>
      <c r="H35" s="571"/>
      <c r="I35" s="471"/>
      <c r="J35" s="492"/>
      <c r="K35" s="492"/>
      <c r="L35" s="491"/>
      <c r="M35" s="586"/>
      <c r="N35" s="490"/>
      <c r="O35" s="471"/>
    </row>
    <row r="36" spans="1:15" s="4" customFormat="1" ht="44.25" customHeight="1" x14ac:dyDescent="0.2">
      <c r="A36" s="582">
        <v>12</v>
      </c>
      <c r="B36" s="735" t="s">
        <v>299</v>
      </c>
      <c r="C36" s="582" t="s">
        <v>302</v>
      </c>
      <c r="D36" s="595">
        <v>43531</v>
      </c>
      <c r="E36" s="517"/>
      <c r="F36" s="708" t="s">
        <v>89</v>
      </c>
      <c r="G36" s="579" t="s">
        <v>303</v>
      </c>
      <c r="H36" s="597">
        <v>43531</v>
      </c>
      <c r="I36" s="690" t="s">
        <v>276</v>
      </c>
      <c r="J36" s="575">
        <v>0.04</v>
      </c>
      <c r="K36" s="575">
        <v>0.04</v>
      </c>
      <c r="L36" s="511">
        <f>+K36*100/J36</f>
        <v>100</v>
      </c>
      <c r="M36" s="575">
        <f>1/15937</f>
        <v>6.2747066574637636E-5</v>
      </c>
      <c r="N36" s="512">
        <f>1/16030</f>
        <v>6.2383031815346231E-5</v>
      </c>
      <c r="O36" s="510">
        <f>N36/M36*100</f>
        <v>99.419837804117279</v>
      </c>
    </row>
    <row r="37" spans="1:15" ht="12.75" customHeight="1" x14ac:dyDescent="0.2">
      <c r="A37" s="494"/>
      <c r="B37" s="736"/>
      <c r="C37" s="624"/>
      <c r="D37" s="580"/>
      <c r="E37" s="518"/>
      <c r="F37" s="691"/>
      <c r="G37" s="580"/>
      <c r="H37" s="518"/>
      <c r="I37" s="691"/>
      <c r="J37" s="576"/>
      <c r="K37" s="576"/>
      <c r="L37" s="509" t="s">
        <v>279</v>
      </c>
      <c r="M37" s="576"/>
      <c r="N37" s="516"/>
      <c r="O37" s="509" t="s">
        <v>278</v>
      </c>
    </row>
    <row r="38" spans="1:15" ht="56.25" customHeight="1" x14ac:dyDescent="0.2">
      <c r="A38" s="582">
        <v>13</v>
      </c>
      <c r="B38" s="709" t="s">
        <v>298</v>
      </c>
      <c r="C38" s="582" t="s">
        <v>304</v>
      </c>
      <c r="D38" s="581">
        <v>43525</v>
      </c>
      <c r="E38" s="517"/>
      <c r="F38" s="578" t="s">
        <v>89</v>
      </c>
      <c r="G38" s="579" t="s">
        <v>305</v>
      </c>
      <c r="H38" s="698">
        <v>43530</v>
      </c>
      <c r="I38" s="690" t="s">
        <v>276</v>
      </c>
      <c r="J38" s="575">
        <v>7.1428571428571425E-2</v>
      </c>
      <c r="K38" s="575">
        <v>7.1428571428571425E-2</v>
      </c>
      <c r="L38" s="511">
        <f>+K38*100/J38</f>
        <v>100</v>
      </c>
      <c r="M38" s="575">
        <f>1/9063</f>
        <v>1.1033873993158998E-4</v>
      </c>
      <c r="N38" s="575">
        <f>1/9570</f>
        <v>1.0449320794148381E-4</v>
      </c>
      <c r="O38" s="510">
        <f>N38/M38*100</f>
        <v>94.702194357366778</v>
      </c>
    </row>
    <row r="39" spans="1:15" x14ac:dyDescent="0.2">
      <c r="A39" s="494"/>
      <c r="B39" s="710"/>
      <c r="C39" s="624"/>
      <c r="D39" s="580"/>
      <c r="E39" s="518"/>
      <c r="F39" s="580"/>
      <c r="G39" s="518"/>
      <c r="H39" s="699"/>
      <c r="I39" s="691"/>
      <c r="J39" s="576"/>
      <c r="K39" s="576"/>
      <c r="L39" s="509" t="s">
        <v>279</v>
      </c>
      <c r="M39" s="576"/>
      <c r="N39" s="516"/>
      <c r="O39" s="509" t="s">
        <v>278</v>
      </c>
    </row>
    <row r="40" spans="1:15" ht="67.5" customHeight="1" x14ac:dyDescent="0.2">
      <c r="A40" s="731">
        <v>14</v>
      </c>
      <c r="B40" s="711" t="s">
        <v>300</v>
      </c>
      <c r="C40" s="582" t="s">
        <v>301</v>
      </c>
      <c r="D40" s="595">
        <v>43616</v>
      </c>
      <c r="E40" s="517"/>
      <c r="F40" s="578" t="s">
        <v>89</v>
      </c>
      <c r="G40" s="567" t="s">
        <v>289</v>
      </c>
      <c r="H40" s="733" t="s">
        <v>130</v>
      </c>
      <c r="I40" s="708" t="s">
        <v>276</v>
      </c>
      <c r="J40" s="575">
        <v>0.125</v>
      </c>
      <c r="K40" s="575">
        <v>0.125</v>
      </c>
      <c r="L40" s="511">
        <f>+K40*100/J40</f>
        <v>100</v>
      </c>
      <c r="M40" s="575">
        <f>1/4441</f>
        <v>2.2517451024544022E-4</v>
      </c>
      <c r="N40" s="575">
        <f>1/6091</f>
        <v>1.6417665407978985E-4</v>
      </c>
      <c r="O40" s="511">
        <f>N40/M40*100</f>
        <v>72.910852076834672</v>
      </c>
    </row>
    <row r="41" spans="1:15" x14ac:dyDescent="0.2">
      <c r="A41" s="732"/>
      <c r="B41" s="712"/>
      <c r="C41" s="624"/>
      <c r="D41" s="518"/>
      <c r="E41" s="518"/>
      <c r="F41" s="580"/>
      <c r="G41" s="639"/>
      <c r="H41" s="734"/>
      <c r="I41" s="691"/>
      <c r="J41" s="576"/>
      <c r="K41" s="576"/>
      <c r="L41" s="509" t="s">
        <v>279</v>
      </c>
      <c r="M41" s="602"/>
      <c r="N41" s="603"/>
      <c r="O41" s="577" t="s">
        <v>331</v>
      </c>
    </row>
    <row r="43" spans="1:15" x14ac:dyDescent="0.2">
      <c r="C43" s="506"/>
      <c r="D43" s="506"/>
      <c r="E43" s="506"/>
      <c r="F43" s="506"/>
      <c r="G43" s="506"/>
      <c r="H43" s="506"/>
      <c r="I43" s="506"/>
      <c r="J43" s="65"/>
      <c r="K43" s="65"/>
      <c r="L43" s="65"/>
      <c r="M43" s="65"/>
    </row>
    <row r="44" spans="1:15" x14ac:dyDescent="0.2">
      <c r="C44" s="140" t="s">
        <v>24</v>
      </c>
      <c r="D44" s="538" t="s">
        <v>288</v>
      </c>
      <c r="E44" s="507"/>
      <c r="F44" s="508"/>
      <c r="G44" s="65"/>
      <c r="H44" s="65"/>
      <c r="I44" s="65"/>
      <c r="J44" s="65"/>
      <c r="K44" s="65"/>
      <c r="L44" s="65"/>
      <c r="M44" s="65"/>
    </row>
  </sheetData>
  <mergeCells count="68">
    <mergeCell ref="A40:A41"/>
    <mergeCell ref="B40:B41"/>
    <mergeCell ref="H40:H41"/>
    <mergeCell ref="I40:I41"/>
    <mergeCell ref="B36:B37"/>
    <mergeCell ref="F36:F37"/>
    <mergeCell ref="I36:I37"/>
    <mergeCell ref="B38:B39"/>
    <mergeCell ref="H38:H39"/>
    <mergeCell ref="I38:I39"/>
    <mergeCell ref="M6:N6"/>
    <mergeCell ref="A4:O4"/>
    <mergeCell ref="B6:B7"/>
    <mergeCell ref="G6:H6"/>
    <mergeCell ref="C6:D6"/>
    <mergeCell ref="E6:E7"/>
    <mergeCell ref="F6:F7"/>
    <mergeCell ref="I6:I7"/>
    <mergeCell ref="G7:G8"/>
    <mergeCell ref="H7:H8"/>
    <mergeCell ref="J6:K6"/>
    <mergeCell ref="L6:L7"/>
    <mergeCell ref="O6:O7"/>
    <mergeCell ref="A6:A8"/>
    <mergeCell ref="C7:C8"/>
    <mergeCell ref="D7:D8"/>
    <mergeCell ref="E12:E13"/>
    <mergeCell ref="J33:J34"/>
    <mergeCell ref="K33:K34"/>
    <mergeCell ref="I33:I34"/>
    <mergeCell ref="I31:I32"/>
    <mergeCell ref="H31:H32"/>
    <mergeCell ref="H33:H34"/>
    <mergeCell ref="A33:A34"/>
    <mergeCell ref="F33:F34"/>
    <mergeCell ref="E33:E34"/>
    <mergeCell ref="B33:B34"/>
    <mergeCell ref="A31:A32"/>
    <mergeCell ref="B31:B32"/>
    <mergeCell ref="C31:C32"/>
    <mergeCell ref="F31:F32"/>
    <mergeCell ref="G31:G32"/>
    <mergeCell ref="C33:C34"/>
    <mergeCell ref="B17:B18"/>
    <mergeCell ref="G17:G18"/>
    <mergeCell ref="H17:H18"/>
    <mergeCell ref="E17:E18"/>
    <mergeCell ref="G33:G34"/>
    <mergeCell ref="G27:G28"/>
    <mergeCell ref="G29:G30"/>
    <mergeCell ref="H27:H28"/>
    <mergeCell ref="H29:H30"/>
    <mergeCell ref="K9:K10"/>
    <mergeCell ref="M9:M10"/>
    <mergeCell ref="N9:N10"/>
    <mergeCell ref="A12:A13"/>
    <mergeCell ref="A17:A18"/>
    <mergeCell ref="J9:J10"/>
    <mergeCell ref="I9:I10"/>
    <mergeCell ref="G9:G10"/>
    <mergeCell ref="H9:H10"/>
    <mergeCell ref="G12:G13"/>
    <mergeCell ref="H12:H13"/>
    <mergeCell ref="C9:C10"/>
    <mergeCell ref="D9:D10"/>
    <mergeCell ref="F9:F10"/>
    <mergeCell ref="A9:A10"/>
    <mergeCell ref="B12:B13"/>
  </mergeCells>
  <phoneticPr fontId="10" type="noConversion"/>
  <printOptions horizontalCentered="1"/>
  <pageMargins left="0.19685039370078741" right="0.19685039370078741" top="0.98425196850393704" bottom="0.78740157480314965" header="0.15748031496062992" footer="0"/>
  <pageSetup scale="65"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M37"/>
  <sheetViews>
    <sheetView topLeftCell="A27" zoomScaleNormal="100" workbookViewId="0">
      <selection activeCell="A33" sqref="A33:K33"/>
    </sheetView>
  </sheetViews>
  <sheetFormatPr baseColWidth="10" defaultRowHeight="12.75" x14ac:dyDescent="0.2"/>
  <cols>
    <col min="1" max="1" width="4.28515625" customWidth="1"/>
    <col min="2" max="2" width="65.85546875" customWidth="1"/>
    <col min="3" max="3" width="10" customWidth="1"/>
    <col min="4" max="4" width="22.140625" customWidth="1"/>
    <col min="5" max="5" width="11.28515625" customWidth="1"/>
    <col min="6" max="6" width="12.85546875" customWidth="1"/>
    <col min="7" max="7" width="15.5703125" customWidth="1"/>
    <col min="8" max="8" width="12.140625" customWidth="1"/>
    <col min="9" max="9" width="16.140625" customWidth="1"/>
    <col min="10" max="11" width="12.7109375" customWidth="1"/>
    <col min="12" max="12" width="2.85546875" bestFit="1" customWidth="1"/>
  </cols>
  <sheetData>
    <row r="1" spans="1:13" s="59" customFormat="1" x14ac:dyDescent="0.2">
      <c r="A1" s="31" t="s">
        <v>22</v>
      </c>
      <c r="B1" s="31"/>
      <c r="C1" s="30"/>
      <c r="D1" s="30"/>
      <c r="E1" s="30"/>
      <c r="F1" s="30"/>
      <c r="G1" s="30"/>
      <c r="H1" s="30"/>
      <c r="I1" s="30"/>
      <c r="J1" s="30"/>
      <c r="K1" s="30"/>
    </row>
    <row r="2" spans="1:13" s="59" customFormat="1" x14ac:dyDescent="0.2">
      <c r="A2" s="31" t="s">
        <v>11</v>
      </c>
      <c r="B2" s="31"/>
      <c r="C2" s="30"/>
      <c r="D2" s="30"/>
      <c r="E2" s="30"/>
      <c r="F2" s="30"/>
      <c r="G2" s="30"/>
      <c r="H2" s="30"/>
      <c r="I2" s="30"/>
      <c r="J2" s="30"/>
      <c r="K2" s="30"/>
    </row>
    <row r="3" spans="1:13" s="59" customFormat="1" x14ac:dyDescent="0.2">
      <c r="A3" s="60"/>
      <c r="B3" s="60"/>
      <c r="C3" s="30"/>
      <c r="D3" s="30"/>
      <c r="E3" s="30"/>
      <c r="F3" s="30"/>
      <c r="G3" s="30"/>
      <c r="H3" s="30"/>
      <c r="I3" s="30"/>
      <c r="J3" s="30"/>
      <c r="K3" s="79" t="s">
        <v>247</v>
      </c>
    </row>
    <row r="4" spans="1:13" s="59" customFormat="1" x14ac:dyDescent="0.2">
      <c r="A4" s="647" t="s">
        <v>248</v>
      </c>
      <c r="B4" s="647"/>
      <c r="C4" s="647"/>
      <c r="D4" s="647"/>
      <c r="E4" s="647"/>
      <c r="F4" s="647"/>
      <c r="G4" s="647"/>
      <c r="H4" s="647"/>
      <c r="I4" s="647"/>
      <c r="J4" s="647"/>
      <c r="K4" s="647"/>
    </row>
    <row r="5" spans="1:13" s="59" customFormat="1" x14ac:dyDescent="0.2">
      <c r="A5" s="30"/>
      <c r="B5" s="30"/>
      <c r="C5" s="30"/>
      <c r="D5" s="30"/>
      <c r="E5" s="30"/>
      <c r="F5" s="30"/>
      <c r="G5" s="30"/>
      <c r="H5" s="30"/>
      <c r="I5" s="30"/>
      <c r="J5" s="30"/>
      <c r="K5" s="30"/>
    </row>
    <row r="6" spans="1:13" s="59" customFormat="1" ht="32.25" customHeight="1" x14ac:dyDescent="0.2">
      <c r="A6" s="663" t="s">
        <v>1</v>
      </c>
      <c r="B6" s="450" t="s">
        <v>18</v>
      </c>
      <c r="C6" s="663" t="s">
        <v>249</v>
      </c>
      <c r="D6" s="739" t="s">
        <v>250</v>
      </c>
      <c r="E6" s="739"/>
      <c r="F6" s="663" t="s">
        <v>225</v>
      </c>
      <c r="G6" s="663" t="s">
        <v>10</v>
      </c>
      <c r="H6" s="663" t="s">
        <v>2</v>
      </c>
      <c r="I6" s="663" t="s">
        <v>224</v>
      </c>
      <c r="J6" s="739" t="s">
        <v>69</v>
      </c>
      <c r="K6" s="739"/>
    </row>
    <row r="7" spans="1:13" s="59" customFormat="1" ht="14.25" customHeight="1" x14ac:dyDescent="0.2">
      <c r="A7" s="740"/>
      <c r="B7" s="451"/>
      <c r="C7" s="664"/>
      <c r="D7" s="425" t="s">
        <v>3</v>
      </c>
      <c r="E7" s="425" t="s">
        <v>4</v>
      </c>
      <c r="F7" s="664"/>
      <c r="G7" s="664"/>
      <c r="H7" s="664"/>
      <c r="I7" s="664"/>
      <c r="J7" s="425" t="s">
        <v>3</v>
      </c>
      <c r="K7" s="425" t="s">
        <v>4</v>
      </c>
    </row>
    <row r="8" spans="1:13" s="59" customFormat="1" ht="10.5" customHeight="1" x14ac:dyDescent="0.2">
      <c r="A8" s="664"/>
      <c r="B8" s="426" t="s">
        <v>231</v>
      </c>
      <c r="C8" s="426" t="s">
        <v>232</v>
      </c>
      <c r="D8" s="426" t="s">
        <v>233</v>
      </c>
      <c r="E8" s="426" t="s">
        <v>234</v>
      </c>
      <c r="F8" s="426" t="s">
        <v>235</v>
      </c>
      <c r="G8" s="426" t="s">
        <v>236</v>
      </c>
      <c r="H8" s="426" t="s">
        <v>242</v>
      </c>
      <c r="I8" s="426" t="s">
        <v>243</v>
      </c>
      <c r="J8" s="737" t="s">
        <v>244</v>
      </c>
      <c r="K8" s="738"/>
    </row>
    <row r="9" spans="1:13" s="59" customFormat="1" ht="45" x14ac:dyDescent="0.2">
      <c r="A9" s="427">
        <v>1</v>
      </c>
      <c r="B9" s="394" t="s">
        <v>259</v>
      </c>
      <c r="C9" s="427">
        <v>3</v>
      </c>
      <c r="D9" s="428" t="s">
        <v>251</v>
      </c>
      <c r="E9" s="429">
        <v>42996</v>
      </c>
      <c r="F9" s="427" t="s">
        <v>89</v>
      </c>
      <c r="G9" s="428" t="s">
        <v>256</v>
      </c>
      <c r="H9" s="422"/>
      <c r="I9" s="427" t="s">
        <v>255</v>
      </c>
      <c r="J9" s="317" t="s">
        <v>257</v>
      </c>
      <c r="K9" s="393">
        <v>43258</v>
      </c>
      <c r="M9" s="447"/>
    </row>
    <row r="10" spans="1:13" s="59" customFormat="1" ht="33.75" x14ac:dyDescent="0.2">
      <c r="A10" s="427">
        <v>2</v>
      </c>
      <c r="B10" s="394" t="s">
        <v>258</v>
      </c>
      <c r="C10" s="427">
        <v>3</v>
      </c>
      <c r="D10" s="428" t="s">
        <v>252</v>
      </c>
      <c r="E10" s="429">
        <v>43006</v>
      </c>
      <c r="F10" s="422"/>
      <c r="G10" s="428" t="s">
        <v>260</v>
      </c>
      <c r="H10" s="422"/>
      <c r="I10" s="427" t="s">
        <v>255</v>
      </c>
      <c r="J10" s="317" t="s">
        <v>261</v>
      </c>
      <c r="K10" s="393">
        <v>43258</v>
      </c>
    </row>
    <row r="11" spans="1:13" ht="45" customHeight="1" x14ac:dyDescent="0.2">
      <c r="A11" s="427">
        <v>3</v>
      </c>
      <c r="B11" s="430" t="s">
        <v>262</v>
      </c>
      <c r="C11" s="313">
        <v>19</v>
      </c>
      <c r="D11" s="431" t="s">
        <v>263</v>
      </c>
      <c r="E11" s="432" t="s">
        <v>264</v>
      </c>
      <c r="F11" s="316" t="s">
        <v>171</v>
      </c>
      <c r="G11" s="317" t="s">
        <v>130</v>
      </c>
      <c r="H11" s="317" t="s">
        <v>130</v>
      </c>
      <c r="I11" s="393" t="s">
        <v>246</v>
      </c>
      <c r="J11" s="317" t="s">
        <v>115</v>
      </c>
      <c r="K11" s="393">
        <v>42878</v>
      </c>
      <c r="L11" s="204"/>
    </row>
    <row r="12" spans="1:13" ht="45" customHeight="1" x14ac:dyDescent="0.2">
      <c r="A12" s="427">
        <v>4</v>
      </c>
      <c r="B12" s="394" t="s">
        <v>163</v>
      </c>
      <c r="C12" s="313">
        <v>28</v>
      </c>
      <c r="D12" s="431" t="s">
        <v>183</v>
      </c>
      <c r="E12" s="432">
        <v>42717</v>
      </c>
      <c r="F12" s="393" t="s">
        <v>90</v>
      </c>
      <c r="G12" s="317" t="s">
        <v>130</v>
      </c>
      <c r="H12" s="317" t="s">
        <v>130</v>
      </c>
      <c r="I12" s="317" t="s">
        <v>246</v>
      </c>
      <c r="J12" s="317" t="s">
        <v>130</v>
      </c>
      <c r="K12" s="317" t="s">
        <v>130</v>
      </c>
    </row>
    <row r="13" spans="1:13" ht="57" customHeight="1" x14ac:dyDescent="0.2">
      <c r="A13" s="427">
        <v>5</v>
      </c>
      <c r="B13" s="398" t="s">
        <v>269</v>
      </c>
      <c r="C13" s="449">
        <v>41</v>
      </c>
      <c r="D13" s="433" t="s">
        <v>200</v>
      </c>
      <c r="E13" s="434">
        <v>42809</v>
      </c>
      <c r="F13" s="393" t="s">
        <v>90</v>
      </c>
      <c r="G13" s="317" t="s">
        <v>130</v>
      </c>
      <c r="H13" s="317" t="s">
        <v>130</v>
      </c>
      <c r="I13" s="317" t="s">
        <v>246</v>
      </c>
      <c r="J13" s="317" t="s">
        <v>130</v>
      </c>
      <c r="K13" s="317" t="s">
        <v>130</v>
      </c>
    </row>
    <row r="14" spans="1:13" s="53" customFormat="1" ht="12" hidden="1" customHeight="1" x14ac:dyDescent="0.2">
      <c r="A14" s="427">
        <v>6</v>
      </c>
      <c r="B14" s="435" t="s">
        <v>168</v>
      </c>
      <c r="C14" s="313"/>
      <c r="D14" s="314"/>
      <c r="E14" s="315"/>
      <c r="F14" s="393"/>
      <c r="G14" s="436"/>
      <c r="H14" s="436"/>
      <c r="I14" s="436"/>
      <c r="J14" s="436"/>
      <c r="K14" s="436"/>
    </row>
    <row r="15" spans="1:13" s="53" customFormat="1" ht="33.75" hidden="1" x14ac:dyDescent="0.2">
      <c r="A15" s="427">
        <v>7</v>
      </c>
      <c r="B15" s="318" t="s">
        <v>118</v>
      </c>
      <c r="C15" s="313">
        <v>2</v>
      </c>
      <c r="D15" s="314" t="s">
        <v>172</v>
      </c>
      <c r="E15" s="315">
        <v>42795</v>
      </c>
      <c r="F15" s="316" t="s">
        <v>90</v>
      </c>
      <c r="G15" s="317" t="s">
        <v>130</v>
      </c>
      <c r="H15" s="317" t="s">
        <v>130</v>
      </c>
      <c r="I15" s="317"/>
      <c r="J15" s="317" t="s">
        <v>130</v>
      </c>
      <c r="K15" s="317" t="s">
        <v>130</v>
      </c>
    </row>
    <row r="16" spans="1:13" hidden="1" x14ac:dyDescent="0.2">
      <c r="A16" s="427">
        <v>8</v>
      </c>
      <c r="B16" s="437"/>
      <c r="C16" s="438"/>
      <c r="D16" s="314"/>
      <c r="E16" s="315"/>
      <c r="F16" s="427"/>
      <c r="G16" s="439"/>
      <c r="H16" s="440"/>
      <c r="I16" s="440"/>
      <c r="J16" s="441"/>
      <c r="K16" s="441"/>
      <c r="L16" s="204"/>
    </row>
    <row r="17" spans="1:12" hidden="1" x14ac:dyDescent="0.2">
      <c r="A17" s="427">
        <v>9</v>
      </c>
      <c r="B17" s="437" t="e">
        <f>VLOOKUP(A17,#REF!,2,FALSE)</f>
        <v>#REF!</v>
      </c>
      <c r="C17" s="438" t="e">
        <f>VLOOKUP(A17,#REF!,15,FALSE)</f>
        <v>#REF!</v>
      </c>
      <c r="D17" s="442"/>
      <c r="E17" s="315"/>
      <c r="F17" s="427"/>
      <c r="G17" s="439"/>
      <c r="H17" s="440"/>
      <c r="I17" s="440"/>
      <c r="J17" s="439"/>
      <c r="K17" s="440"/>
    </row>
    <row r="18" spans="1:12" hidden="1" x14ac:dyDescent="0.2">
      <c r="A18" s="427">
        <v>10</v>
      </c>
      <c r="B18" s="437" t="e">
        <f>VLOOKUP(A18,#REF!,2,FALSE)</f>
        <v>#REF!</v>
      </c>
      <c r="C18" s="438" t="e">
        <f>VLOOKUP(A18,#REF!,15,FALSE)</f>
        <v>#REF!</v>
      </c>
      <c r="D18" s="442"/>
      <c r="E18" s="315"/>
      <c r="F18" s="427"/>
      <c r="G18" s="439"/>
      <c r="H18" s="440"/>
      <c r="I18" s="440"/>
      <c r="J18" s="443"/>
      <c r="K18" s="440"/>
    </row>
    <row r="19" spans="1:12" hidden="1" x14ac:dyDescent="0.2">
      <c r="A19" s="427">
        <v>11</v>
      </c>
      <c r="B19" s="437" t="e">
        <f>VLOOKUP(A19,#REF!,2,FALSE)</f>
        <v>#REF!</v>
      </c>
      <c r="C19" s="438" t="e">
        <f>VLOOKUP(A19,#REF!,15,FALSE)</f>
        <v>#REF!</v>
      </c>
      <c r="D19" s="442"/>
      <c r="E19" s="315"/>
      <c r="F19" s="427"/>
      <c r="G19" s="439"/>
      <c r="H19" s="440"/>
      <c r="I19" s="440"/>
      <c r="J19" s="443"/>
      <c r="K19" s="440"/>
    </row>
    <row r="20" spans="1:12" hidden="1" x14ac:dyDescent="0.2">
      <c r="A20" s="427">
        <v>12</v>
      </c>
      <c r="B20" s="437" t="e">
        <f>VLOOKUP(A20,#REF!,2,FALSE)</f>
        <v>#REF!</v>
      </c>
      <c r="C20" s="438" t="e">
        <f>VLOOKUP(A20,#REF!,15,FALSE)</f>
        <v>#REF!</v>
      </c>
      <c r="D20" s="442"/>
      <c r="E20" s="315"/>
      <c r="F20" s="427"/>
      <c r="G20" s="439"/>
      <c r="H20" s="440"/>
      <c r="I20" s="440"/>
      <c r="J20" s="443"/>
      <c r="K20" s="443"/>
      <c r="L20" s="204"/>
    </row>
    <row r="21" spans="1:12" hidden="1" x14ac:dyDescent="0.2">
      <c r="A21" s="427">
        <v>13</v>
      </c>
      <c r="B21" s="437" t="e">
        <f>VLOOKUP(A21,#REF!,2,FALSE)</f>
        <v>#REF!</v>
      </c>
      <c r="C21" s="438" t="e">
        <f>VLOOKUP(A21,#REF!,15,FALSE)</f>
        <v>#REF!</v>
      </c>
      <c r="D21" s="442"/>
      <c r="E21" s="315"/>
      <c r="F21" s="427"/>
      <c r="G21" s="439"/>
      <c r="H21" s="440"/>
      <c r="I21" s="440"/>
      <c r="J21" s="443"/>
      <c r="K21" s="440"/>
    </row>
    <row r="22" spans="1:12" hidden="1" x14ac:dyDescent="0.2">
      <c r="A22" s="427">
        <v>14</v>
      </c>
      <c r="B22" s="437" t="e">
        <f>VLOOKUP(A22,#REF!,2,FALSE)</f>
        <v>#REF!</v>
      </c>
      <c r="C22" s="438" t="e">
        <f>VLOOKUP(A22,#REF!,15,FALSE)</f>
        <v>#REF!</v>
      </c>
      <c r="D22" s="442"/>
      <c r="E22" s="315"/>
      <c r="F22" s="439"/>
      <c r="G22" s="439"/>
      <c r="H22" s="440"/>
      <c r="I22" s="440"/>
      <c r="J22" s="443"/>
      <c r="K22" s="440"/>
    </row>
    <row r="23" spans="1:12" hidden="1" x14ac:dyDescent="0.2">
      <c r="A23" s="427">
        <v>15</v>
      </c>
      <c r="B23" s="437" t="e">
        <f>VLOOKUP(A23,#REF!,2,FALSE)</f>
        <v>#REF!</v>
      </c>
      <c r="C23" s="438" t="e">
        <f>VLOOKUP(A23,#REF!,15,FALSE)</f>
        <v>#REF!</v>
      </c>
      <c r="D23" s="442"/>
      <c r="E23" s="315"/>
      <c r="F23" s="439"/>
      <c r="G23" s="439"/>
      <c r="H23" s="440"/>
      <c r="I23" s="440"/>
      <c r="J23" s="443"/>
      <c r="K23" s="440"/>
    </row>
    <row r="24" spans="1:12" hidden="1" x14ac:dyDescent="0.2">
      <c r="A24" s="427">
        <v>16</v>
      </c>
      <c r="B24" s="437" t="e">
        <f>VLOOKUP(A24,#REF!,2,FALSE)</f>
        <v>#REF!</v>
      </c>
      <c r="C24" s="438" t="e">
        <f>VLOOKUP(A24,#REF!,15,FALSE)</f>
        <v>#REF!</v>
      </c>
      <c r="D24" s="442"/>
      <c r="E24" s="315"/>
      <c r="F24" s="439"/>
      <c r="G24" s="439"/>
      <c r="H24" s="440"/>
      <c r="I24" s="440"/>
      <c r="J24" s="444"/>
      <c r="K24" s="444"/>
    </row>
    <row r="25" spans="1:12" hidden="1" x14ac:dyDescent="0.2">
      <c r="A25" s="427">
        <v>17</v>
      </c>
      <c r="B25" s="437" t="e">
        <f>VLOOKUP(A25,#REF!,2,FALSE)</f>
        <v>#REF!</v>
      </c>
      <c r="C25" s="438" t="e">
        <f>VLOOKUP(A25,#REF!,15,FALSE)</f>
        <v>#REF!</v>
      </c>
      <c r="D25" s="442"/>
      <c r="E25" s="315"/>
      <c r="F25" s="439"/>
      <c r="G25" s="439"/>
      <c r="H25" s="440"/>
      <c r="I25" s="440"/>
      <c r="J25" s="444"/>
      <c r="K25" s="444"/>
    </row>
    <row r="26" spans="1:12" hidden="1" x14ac:dyDescent="0.2">
      <c r="A26" s="427">
        <v>18</v>
      </c>
      <c r="B26" s="437" t="e">
        <f>VLOOKUP(A26,#REF!,2,FALSE)</f>
        <v>#REF!</v>
      </c>
      <c r="C26" s="438" t="e">
        <f>VLOOKUP(A26,#REF!,15,FALSE)</f>
        <v>#REF!</v>
      </c>
      <c r="D26" s="442"/>
      <c r="E26" s="315"/>
      <c r="F26" s="439"/>
      <c r="G26" s="439"/>
      <c r="H26" s="440"/>
      <c r="I26" s="440"/>
      <c r="J26" s="444"/>
      <c r="K26" s="444"/>
    </row>
    <row r="27" spans="1:12" ht="63.75" x14ac:dyDescent="0.2">
      <c r="A27" s="427">
        <v>23</v>
      </c>
      <c r="B27" s="398" t="s">
        <v>254</v>
      </c>
      <c r="C27" s="421">
        <v>8</v>
      </c>
      <c r="D27" s="433" t="s">
        <v>197</v>
      </c>
      <c r="E27" s="434">
        <v>43013</v>
      </c>
      <c r="F27" s="393" t="s">
        <v>90</v>
      </c>
      <c r="G27" s="317" t="s">
        <v>130</v>
      </c>
      <c r="H27" s="317" t="s">
        <v>130</v>
      </c>
      <c r="I27" s="317" t="s">
        <v>246</v>
      </c>
      <c r="J27" s="317" t="s">
        <v>130</v>
      </c>
      <c r="K27" s="317" t="s">
        <v>130</v>
      </c>
    </row>
    <row r="28" spans="1:12" ht="63.75" x14ac:dyDescent="0.2">
      <c r="A28" s="427">
        <v>24</v>
      </c>
      <c r="B28" s="397" t="s">
        <v>198</v>
      </c>
      <c r="C28" s="421">
        <v>18</v>
      </c>
      <c r="D28" s="433" t="s">
        <v>197</v>
      </c>
      <c r="E28" s="434">
        <v>43013</v>
      </c>
      <c r="F28" s="393" t="s">
        <v>90</v>
      </c>
      <c r="G28" s="317" t="s">
        <v>130</v>
      </c>
      <c r="H28" s="317" t="s">
        <v>130</v>
      </c>
      <c r="I28" s="317" t="s">
        <v>246</v>
      </c>
      <c r="J28" s="317" t="s">
        <v>130</v>
      </c>
      <c r="K28" s="317" t="s">
        <v>130</v>
      </c>
    </row>
    <row r="29" spans="1:12" ht="38.25" x14ac:dyDescent="0.2">
      <c r="A29" s="427">
        <v>25</v>
      </c>
      <c r="B29" s="398" t="s">
        <v>199</v>
      </c>
      <c r="C29" s="449">
        <v>13</v>
      </c>
      <c r="D29" s="433" t="s">
        <v>201</v>
      </c>
      <c r="E29" s="434">
        <v>42964</v>
      </c>
      <c r="F29" s="393" t="s">
        <v>90</v>
      </c>
      <c r="G29" s="317" t="s">
        <v>130</v>
      </c>
      <c r="H29" s="317" t="s">
        <v>130</v>
      </c>
      <c r="I29" s="317" t="s">
        <v>246</v>
      </c>
      <c r="J29" s="317" t="s">
        <v>130</v>
      </c>
      <c r="K29" s="317" t="s">
        <v>130</v>
      </c>
    </row>
    <row r="30" spans="1:12" ht="38.25" x14ac:dyDescent="0.2">
      <c r="A30" s="427">
        <v>26</v>
      </c>
      <c r="B30" s="445" t="s">
        <v>265</v>
      </c>
      <c r="C30" s="421">
        <v>31</v>
      </c>
      <c r="D30" s="433" t="s">
        <v>203</v>
      </c>
      <c r="E30" s="448">
        <v>42992</v>
      </c>
      <c r="F30" s="393" t="s">
        <v>90</v>
      </c>
      <c r="G30" s="317" t="s">
        <v>130</v>
      </c>
      <c r="H30" s="317" t="s">
        <v>130</v>
      </c>
      <c r="I30" s="317" t="s">
        <v>246</v>
      </c>
      <c r="J30" s="317" t="s">
        <v>130</v>
      </c>
      <c r="K30" s="317" t="s">
        <v>130</v>
      </c>
    </row>
    <row r="31" spans="1:12" ht="33.75" x14ac:dyDescent="0.2">
      <c r="A31" s="427">
        <v>27</v>
      </c>
      <c r="B31" s="394" t="s">
        <v>266</v>
      </c>
      <c r="C31" s="421">
        <v>41</v>
      </c>
      <c r="D31" s="428" t="s">
        <v>253</v>
      </c>
      <c r="E31" s="429">
        <v>42989</v>
      </c>
      <c r="F31" s="393" t="s">
        <v>90</v>
      </c>
      <c r="G31" s="317" t="s">
        <v>130</v>
      </c>
      <c r="H31" s="317" t="s">
        <v>130</v>
      </c>
      <c r="I31" s="317" t="s">
        <v>246</v>
      </c>
      <c r="J31" s="317" t="s">
        <v>130</v>
      </c>
      <c r="K31" s="317" t="s">
        <v>130</v>
      </c>
    </row>
    <row r="32" spans="1:12" s="156" customFormat="1" ht="51.75" customHeight="1" x14ac:dyDescent="0.2">
      <c r="A32" s="427">
        <v>28</v>
      </c>
      <c r="B32" s="453" t="s">
        <v>195</v>
      </c>
      <c r="C32" s="421">
        <v>45</v>
      </c>
      <c r="D32" s="433" t="s">
        <v>196</v>
      </c>
      <c r="E32" s="434">
        <v>43326</v>
      </c>
      <c r="F32" s="393" t="s">
        <v>90</v>
      </c>
      <c r="G32" s="317" t="s">
        <v>130</v>
      </c>
      <c r="H32" s="317" t="s">
        <v>130</v>
      </c>
      <c r="I32" s="317" t="s">
        <v>246</v>
      </c>
      <c r="J32" s="317" t="s">
        <v>130</v>
      </c>
      <c r="K32" s="317" t="s">
        <v>130</v>
      </c>
    </row>
    <row r="33" spans="1:12" s="156" customFormat="1" ht="57" customHeight="1" x14ac:dyDescent="0.2">
      <c r="A33" s="427">
        <v>29</v>
      </c>
      <c r="B33" s="452" t="s">
        <v>268</v>
      </c>
      <c r="C33" s="421">
        <v>33</v>
      </c>
      <c r="D33" s="428"/>
      <c r="E33" s="429"/>
      <c r="F33" s="393" t="s">
        <v>90</v>
      </c>
      <c r="G33" s="317" t="s">
        <v>130</v>
      </c>
      <c r="H33" s="317" t="s">
        <v>130</v>
      </c>
      <c r="I33" s="317" t="s">
        <v>246</v>
      </c>
      <c r="J33" s="317" t="s">
        <v>130</v>
      </c>
      <c r="K33" s="317" t="s">
        <v>130</v>
      </c>
    </row>
    <row r="34" spans="1:12" s="156" customFormat="1" ht="38.25" x14ac:dyDescent="0.2">
      <c r="A34" s="427">
        <v>30</v>
      </c>
      <c r="B34" s="446" t="s">
        <v>267</v>
      </c>
      <c r="C34" s="421">
        <v>29</v>
      </c>
      <c r="D34" s="433" t="s">
        <v>202</v>
      </c>
      <c r="E34" s="434">
        <v>43024</v>
      </c>
      <c r="F34" s="393" t="s">
        <v>90</v>
      </c>
      <c r="G34" s="317" t="s">
        <v>130</v>
      </c>
      <c r="H34" s="317" t="s">
        <v>130</v>
      </c>
      <c r="I34" s="317" t="s">
        <v>246</v>
      </c>
      <c r="J34" s="317" t="s">
        <v>130</v>
      </c>
      <c r="K34" s="317" t="s">
        <v>130</v>
      </c>
    </row>
    <row r="35" spans="1:12" s="156" customFormat="1" ht="25.5" x14ac:dyDescent="0.2">
      <c r="A35" s="459"/>
      <c r="B35" s="460" t="s">
        <v>274</v>
      </c>
      <c r="C35" s="461">
        <v>10</v>
      </c>
      <c r="D35" s="462" t="s">
        <v>275</v>
      </c>
      <c r="E35" s="463">
        <v>43220</v>
      </c>
      <c r="F35" s="393" t="s">
        <v>90</v>
      </c>
      <c r="G35" s="317" t="s">
        <v>130</v>
      </c>
      <c r="H35" s="317" t="s">
        <v>130</v>
      </c>
      <c r="I35" s="317" t="s">
        <v>246</v>
      </c>
      <c r="J35" s="317" t="s">
        <v>130</v>
      </c>
      <c r="K35" s="317" t="s">
        <v>130</v>
      </c>
    </row>
    <row r="36" spans="1:12" x14ac:dyDescent="0.2">
      <c r="A36" s="11"/>
      <c r="B36" s="17"/>
      <c r="C36" s="24"/>
      <c r="D36" s="24"/>
      <c r="E36" s="24"/>
      <c r="F36" s="27"/>
      <c r="G36" s="19"/>
      <c r="H36" s="19"/>
      <c r="I36" s="19"/>
      <c r="J36" s="17"/>
      <c r="K36" s="17"/>
      <c r="L36" s="17"/>
    </row>
    <row r="37" spans="1:12" x14ac:dyDescent="0.2">
      <c r="A37" s="11"/>
      <c r="B37" s="17"/>
      <c r="C37" s="24"/>
      <c r="D37" s="24"/>
      <c r="E37" s="24"/>
      <c r="F37" s="27"/>
      <c r="G37" s="10"/>
      <c r="H37" s="10"/>
      <c r="I37" s="10"/>
      <c r="J37" s="10"/>
      <c r="K37" s="20"/>
      <c r="L37" s="10"/>
    </row>
  </sheetData>
  <mergeCells count="10">
    <mergeCell ref="J8:K8"/>
    <mergeCell ref="H6:H7"/>
    <mergeCell ref="J6:K6"/>
    <mergeCell ref="A4:K4"/>
    <mergeCell ref="C6:C7"/>
    <mergeCell ref="F6:F7"/>
    <mergeCell ref="G6:G7"/>
    <mergeCell ref="D6:E6"/>
    <mergeCell ref="A6:A8"/>
    <mergeCell ref="I6:I7"/>
  </mergeCells>
  <pageMargins left="0.23622047244094491" right="0.23622047244094491" top="0.74803149606299213" bottom="0.74803149606299213" header="0.31496062992125984" footer="0.31496062992125984"/>
  <pageSetup scale="70"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A1:K267"/>
  <sheetViews>
    <sheetView topLeftCell="A22" zoomScale="145" zoomScaleNormal="145" workbookViewId="0"/>
  </sheetViews>
  <sheetFormatPr baseColWidth="10" defaultRowHeight="12.75" x14ac:dyDescent="0.2"/>
  <cols>
    <col min="1" max="1" width="2.85546875" style="230" customWidth="1"/>
    <col min="2" max="2" width="15.7109375" bestFit="1" customWidth="1"/>
    <col min="6" max="6" width="11.42578125" style="213"/>
  </cols>
  <sheetData>
    <row r="1" spans="1:7" x14ac:dyDescent="0.2">
      <c r="B1" s="229" t="s">
        <v>36</v>
      </c>
      <c r="C1" s="229"/>
      <c r="D1" s="229"/>
      <c r="E1" s="229"/>
      <c r="F1" s="229"/>
    </row>
    <row r="2" spans="1:7" x14ac:dyDescent="0.2">
      <c r="B2" s="62"/>
      <c r="C2" s="30"/>
      <c r="D2" s="30"/>
      <c r="E2" s="30"/>
      <c r="F2" s="214"/>
    </row>
    <row r="3" spans="1:7" ht="13.5" thickBot="1" x14ac:dyDescent="0.25">
      <c r="B3" s="92"/>
      <c r="C3" s="92"/>
      <c r="D3" s="59"/>
      <c r="E3" s="59"/>
    </row>
    <row r="4" spans="1:7" ht="39" customHeight="1" x14ac:dyDescent="0.2">
      <c r="B4" s="743" t="e">
        <f>VLOOKUP(A15,#REF!,6,FALSE)</f>
        <v>#REF!</v>
      </c>
      <c r="C4" s="744"/>
      <c r="D4" s="744"/>
      <c r="E4" s="745"/>
      <c r="F4" s="215"/>
    </row>
    <row r="5" spans="1:7" x14ac:dyDescent="0.2">
      <c r="B5" s="746" t="s">
        <v>30</v>
      </c>
      <c r="C5" s="747" t="s">
        <v>31</v>
      </c>
      <c r="D5" s="747" t="s">
        <v>17</v>
      </c>
      <c r="E5" s="748"/>
      <c r="F5" s="216"/>
    </row>
    <row r="6" spans="1:7" x14ac:dyDescent="0.2">
      <c r="B6" s="746"/>
      <c r="C6" s="747"/>
      <c r="D6" s="202" t="s">
        <v>32</v>
      </c>
      <c r="E6" s="203" t="s">
        <v>33</v>
      </c>
      <c r="F6" s="216"/>
    </row>
    <row r="7" spans="1:7" x14ac:dyDescent="0.2">
      <c r="B7" s="86" t="s">
        <v>54</v>
      </c>
      <c r="C7" s="97" t="e">
        <f>HLOOKUP(B7,#REF!,VLOOKUP($A$15,#REF!,3,FALSE),FALSE)/8</f>
        <v>#REF!</v>
      </c>
      <c r="D7" s="118">
        <v>781.14</v>
      </c>
      <c r="E7" s="87" t="e">
        <f t="shared" ref="E7:E13" si="0">D7*C7</f>
        <v>#REF!</v>
      </c>
      <c r="F7" s="218"/>
    </row>
    <row r="8" spans="1:7" x14ac:dyDescent="0.2">
      <c r="B8" s="86" t="s">
        <v>26</v>
      </c>
      <c r="C8" s="97" t="e">
        <f>HLOOKUP(B8,#REF!,VLOOKUP($A$15,#REF!,3,FALSE),FALSE)/8</f>
        <v>#REF!</v>
      </c>
      <c r="D8" s="118">
        <v>567.84</v>
      </c>
      <c r="E8" s="87" t="e">
        <f t="shared" si="0"/>
        <v>#REF!</v>
      </c>
      <c r="F8" s="218"/>
    </row>
    <row r="9" spans="1:7" x14ac:dyDescent="0.2">
      <c r="B9" s="86" t="s">
        <v>27</v>
      </c>
      <c r="C9" s="97" t="e">
        <f>HLOOKUP(B9,#REF!,VLOOKUP($A$15,#REF!,3,FALSE),FALSE)/8</f>
        <v>#REF!</v>
      </c>
      <c r="D9" s="118">
        <v>567.84</v>
      </c>
      <c r="E9" s="87" t="e">
        <f t="shared" si="0"/>
        <v>#REF!</v>
      </c>
      <c r="F9" s="218"/>
    </row>
    <row r="10" spans="1:7" x14ac:dyDescent="0.2">
      <c r="B10" s="86" t="s">
        <v>28</v>
      </c>
      <c r="C10" s="97" t="e">
        <f>HLOOKUP(B10,#REF!,VLOOKUP($A$15,#REF!,3,FALSE),FALSE)/8</f>
        <v>#REF!</v>
      </c>
      <c r="D10" s="118">
        <v>567.84</v>
      </c>
      <c r="E10" s="87" t="e">
        <f t="shared" si="0"/>
        <v>#REF!</v>
      </c>
      <c r="F10" s="218"/>
    </row>
    <row r="11" spans="1:7" x14ac:dyDescent="0.2">
      <c r="B11" s="86" t="s">
        <v>58</v>
      </c>
      <c r="C11" s="97" t="e">
        <f>HLOOKUP(B11,#REF!,VLOOKUP($A$15,#REF!,3,FALSE),FALSE)/8</f>
        <v>#REF!</v>
      </c>
      <c r="D11" s="118">
        <v>567.84</v>
      </c>
      <c r="E11" s="87" t="e">
        <f t="shared" si="0"/>
        <v>#REF!</v>
      </c>
      <c r="F11" s="218"/>
    </row>
    <row r="12" spans="1:7" x14ac:dyDescent="0.2">
      <c r="B12" s="86" t="s">
        <v>94</v>
      </c>
      <c r="C12" s="97" t="e">
        <f>HLOOKUP(B12,#REF!,VLOOKUP($A$15,#REF!,3,FALSE),FALSE)/8</f>
        <v>#REF!</v>
      </c>
      <c r="D12" s="118">
        <v>567.84</v>
      </c>
      <c r="E12" s="87" t="e">
        <f t="shared" si="0"/>
        <v>#REF!</v>
      </c>
      <c r="F12" s="218"/>
    </row>
    <row r="13" spans="1:7" x14ac:dyDescent="0.2">
      <c r="B13" s="86" t="s">
        <v>93</v>
      </c>
      <c r="C13" s="97" t="e">
        <f>HLOOKUP(B13,#REF!,VLOOKUP($A$15,#REF!,3,FALSE),FALSE)/8</f>
        <v>#REF!</v>
      </c>
      <c r="D13" s="118">
        <v>567.84</v>
      </c>
      <c r="E13" s="87" t="e">
        <f t="shared" si="0"/>
        <v>#REF!</v>
      </c>
      <c r="F13" s="218"/>
      <c r="G13" s="151"/>
    </row>
    <row r="14" spans="1:7" x14ac:dyDescent="0.2">
      <c r="B14" s="86" t="s">
        <v>35</v>
      </c>
      <c r="C14" s="129"/>
      <c r="D14" s="90"/>
      <c r="E14" s="87" t="e">
        <f>VLOOKUP(A15,#REF!,13,FALSE)</f>
        <v>#REF!</v>
      </c>
      <c r="F14" s="218"/>
    </row>
    <row r="15" spans="1:7" ht="13.5" thickBot="1" x14ac:dyDescent="0.25">
      <c r="A15" s="244">
        <v>1</v>
      </c>
      <c r="B15" s="88" t="s">
        <v>34</v>
      </c>
      <c r="C15" s="98" t="e">
        <f>SUM(C7:C14)</f>
        <v>#REF!</v>
      </c>
      <c r="D15" s="91"/>
      <c r="E15" s="138" t="e">
        <f>SUM(E7:E14)</f>
        <v>#REF!</v>
      </c>
      <c r="F15" s="219"/>
    </row>
    <row r="16" spans="1:7" x14ac:dyDescent="0.2">
      <c r="B16" s="201"/>
      <c r="C16" s="74"/>
      <c r="D16" s="74"/>
      <c r="E16" s="64"/>
      <c r="F16" s="220"/>
    </row>
    <row r="17" spans="1:6" ht="13.5" thickBot="1" x14ac:dyDescent="0.25">
      <c r="B17" s="201"/>
      <c r="C17" s="74"/>
      <c r="D17" s="74"/>
      <c r="E17" s="201"/>
      <c r="F17" s="217"/>
    </row>
    <row r="18" spans="1:6" ht="39" customHeight="1" x14ac:dyDescent="0.2">
      <c r="B18" s="743" t="e">
        <f>VLOOKUP(A29,#REF!,6,FALSE)</f>
        <v>#REF!</v>
      </c>
      <c r="C18" s="744"/>
      <c r="D18" s="744"/>
      <c r="E18" s="745"/>
      <c r="F18" s="221"/>
    </row>
    <row r="19" spans="1:6" x14ac:dyDescent="0.2">
      <c r="B19" s="746" t="s">
        <v>30</v>
      </c>
      <c r="C19" s="747" t="s">
        <v>31</v>
      </c>
      <c r="D19" s="747" t="s">
        <v>17</v>
      </c>
      <c r="E19" s="748"/>
      <c r="F19" s="216"/>
    </row>
    <row r="20" spans="1:6" x14ac:dyDescent="0.2">
      <c r="B20" s="746"/>
      <c r="C20" s="747"/>
      <c r="D20" s="202" t="s">
        <v>32</v>
      </c>
      <c r="E20" s="203" t="s">
        <v>33</v>
      </c>
      <c r="F20" s="216"/>
    </row>
    <row r="21" spans="1:6" x14ac:dyDescent="0.2">
      <c r="B21" s="86" t="s">
        <v>54</v>
      </c>
      <c r="C21" s="97" t="e">
        <f>HLOOKUP(B21,#REF!,VLOOKUP($A$29,#REF!,3,FALSE),FALSE)/8</f>
        <v>#REF!</v>
      </c>
      <c r="D21" s="85">
        <f t="shared" ref="D21:D27" si="1">VLOOKUP(B21,$B$7:$D$13,3,FALSE)</f>
        <v>781.14</v>
      </c>
      <c r="E21" s="87" t="e">
        <f t="shared" ref="E21:E27" si="2">D21*C21</f>
        <v>#REF!</v>
      </c>
      <c r="F21" s="218"/>
    </row>
    <row r="22" spans="1:6" x14ac:dyDescent="0.2">
      <c r="B22" s="86" t="s">
        <v>26</v>
      </c>
      <c r="C22" s="97" t="e">
        <f>HLOOKUP(B22,#REF!,VLOOKUP($A$29,#REF!,3,FALSE),FALSE)/8</f>
        <v>#REF!</v>
      </c>
      <c r="D22" s="85">
        <f t="shared" si="1"/>
        <v>567.84</v>
      </c>
      <c r="E22" s="87" t="e">
        <f t="shared" si="2"/>
        <v>#REF!</v>
      </c>
      <c r="F22" s="218"/>
    </row>
    <row r="23" spans="1:6" x14ac:dyDescent="0.2">
      <c r="B23" s="86" t="s">
        <v>27</v>
      </c>
      <c r="C23" s="97" t="e">
        <f>HLOOKUP(B23,#REF!,VLOOKUP($A$29,#REF!,3,FALSE),FALSE)/8</f>
        <v>#REF!</v>
      </c>
      <c r="D23" s="85">
        <f t="shared" si="1"/>
        <v>567.84</v>
      </c>
      <c r="E23" s="87" t="e">
        <f t="shared" si="2"/>
        <v>#REF!</v>
      </c>
      <c r="F23" s="218"/>
    </row>
    <row r="24" spans="1:6" x14ac:dyDescent="0.2">
      <c r="B24" s="86" t="s">
        <v>28</v>
      </c>
      <c r="C24" s="97" t="e">
        <f>HLOOKUP(B24,#REF!,VLOOKUP($A$29,#REF!,3,FALSE),FALSE)/8</f>
        <v>#REF!</v>
      </c>
      <c r="D24" s="85">
        <f t="shared" si="1"/>
        <v>567.84</v>
      </c>
      <c r="E24" s="87" t="e">
        <f t="shared" si="2"/>
        <v>#REF!</v>
      </c>
      <c r="F24" s="218"/>
    </row>
    <row r="25" spans="1:6" x14ac:dyDescent="0.2">
      <c r="B25" s="86" t="s">
        <v>58</v>
      </c>
      <c r="C25" s="97" t="e">
        <f>HLOOKUP(B25,#REF!,VLOOKUP($A$29,#REF!,3,FALSE),FALSE)/8</f>
        <v>#REF!</v>
      </c>
      <c r="D25" s="85">
        <f t="shared" si="1"/>
        <v>567.84</v>
      </c>
      <c r="E25" s="87" t="e">
        <f t="shared" si="2"/>
        <v>#REF!</v>
      </c>
      <c r="F25" s="218"/>
    </row>
    <row r="26" spans="1:6" x14ac:dyDescent="0.2">
      <c r="B26" s="86" t="s">
        <v>94</v>
      </c>
      <c r="C26" s="97" t="e">
        <f>HLOOKUP(B26,#REF!,VLOOKUP($A$29,#REF!,3,FALSE),FALSE)/8</f>
        <v>#REF!</v>
      </c>
      <c r="D26" s="85">
        <f t="shared" si="1"/>
        <v>567.84</v>
      </c>
      <c r="E26" s="87" t="e">
        <f t="shared" si="2"/>
        <v>#REF!</v>
      </c>
      <c r="F26" s="218"/>
    </row>
    <row r="27" spans="1:6" x14ac:dyDescent="0.2">
      <c r="B27" s="86" t="s">
        <v>93</v>
      </c>
      <c r="C27" s="97" t="e">
        <f>HLOOKUP(B27,#REF!,VLOOKUP($A$29,#REF!,3,FALSE),FALSE)/8</f>
        <v>#REF!</v>
      </c>
      <c r="D27" s="85">
        <f t="shared" si="1"/>
        <v>567.84</v>
      </c>
      <c r="E27" s="87" t="e">
        <f t="shared" si="2"/>
        <v>#REF!</v>
      </c>
      <c r="F27" s="218"/>
    </row>
    <row r="28" spans="1:6" x14ac:dyDescent="0.2">
      <c r="B28" s="86" t="s">
        <v>35</v>
      </c>
      <c r="C28" s="84"/>
      <c r="D28" s="90"/>
      <c r="E28" s="87"/>
      <c r="F28" s="218"/>
    </row>
    <row r="29" spans="1:6" ht="13.5" thickBot="1" x14ac:dyDescent="0.25">
      <c r="A29" s="244">
        <v>2</v>
      </c>
      <c r="B29" s="88" t="s">
        <v>34</v>
      </c>
      <c r="C29" s="98" t="e">
        <f>SUM(C21:C28)</f>
        <v>#REF!</v>
      </c>
      <c r="D29" s="91"/>
      <c r="E29" s="138" t="e">
        <f>SUM(E21:E28)</f>
        <v>#REF!</v>
      </c>
      <c r="F29" s="219"/>
    </row>
    <row r="30" spans="1:6" x14ac:dyDescent="0.2">
      <c r="B30" s="93"/>
      <c r="C30" s="93"/>
      <c r="D30" s="67"/>
      <c r="E30" s="67"/>
      <c r="F30" s="222"/>
    </row>
    <row r="31" spans="1:6" ht="13.5" thickBot="1" x14ac:dyDescent="0.25">
      <c r="B31" s="93"/>
      <c r="C31" s="93"/>
      <c r="D31" s="75"/>
      <c r="E31" s="75"/>
      <c r="F31" s="223"/>
    </row>
    <row r="32" spans="1:6" ht="36.75" customHeight="1" x14ac:dyDescent="0.2">
      <c r="B32" s="743" t="e">
        <f>VLOOKUP(A43,#REF!,6,FALSE)</f>
        <v>#REF!</v>
      </c>
      <c r="C32" s="744"/>
      <c r="D32" s="744"/>
      <c r="E32" s="745"/>
      <c r="F32" s="221"/>
    </row>
    <row r="33" spans="1:6" x14ac:dyDescent="0.2">
      <c r="B33" s="746" t="s">
        <v>30</v>
      </c>
      <c r="C33" s="747" t="s">
        <v>31</v>
      </c>
      <c r="D33" s="747" t="s">
        <v>17</v>
      </c>
      <c r="E33" s="748"/>
      <c r="F33" s="216"/>
    </row>
    <row r="34" spans="1:6" x14ac:dyDescent="0.2">
      <c r="B34" s="746"/>
      <c r="C34" s="747"/>
      <c r="D34" s="202" t="s">
        <v>32</v>
      </c>
      <c r="E34" s="203" t="s">
        <v>33</v>
      </c>
      <c r="F34" s="216"/>
    </row>
    <row r="35" spans="1:6" x14ac:dyDescent="0.2">
      <c r="B35" s="86" t="s">
        <v>54</v>
      </c>
      <c r="C35" s="97" t="e">
        <f>HLOOKUP(B35,#REF!,VLOOKUP($A$43,#REF!,3,FALSE),FALSE)/8</f>
        <v>#REF!</v>
      </c>
      <c r="D35" s="85">
        <f t="shared" ref="D35:D41" si="3">VLOOKUP(B35,$B$7:$D$13,3,FALSE)</f>
        <v>781.14</v>
      </c>
      <c r="E35" s="87" t="e">
        <f t="shared" ref="E35:E41" si="4">D35*C35</f>
        <v>#REF!</v>
      </c>
      <c r="F35" s="218"/>
    </row>
    <row r="36" spans="1:6" x14ac:dyDescent="0.2">
      <c r="B36" s="86" t="s">
        <v>26</v>
      </c>
      <c r="C36" s="97" t="e">
        <f>HLOOKUP(B36,#REF!,VLOOKUP($A$43,#REF!,3,FALSE),FALSE)/8</f>
        <v>#REF!</v>
      </c>
      <c r="D36" s="85">
        <f t="shared" si="3"/>
        <v>567.84</v>
      </c>
      <c r="E36" s="87" t="e">
        <f t="shared" si="4"/>
        <v>#REF!</v>
      </c>
      <c r="F36" s="218"/>
    </row>
    <row r="37" spans="1:6" x14ac:dyDescent="0.2">
      <c r="B37" s="86" t="s">
        <v>27</v>
      </c>
      <c r="C37" s="97" t="e">
        <f>HLOOKUP(B37,#REF!,VLOOKUP($A$43,#REF!,3,FALSE),FALSE)/8</f>
        <v>#REF!</v>
      </c>
      <c r="D37" s="85">
        <f t="shared" si="3"/>
        <v>567.84</v>
      </c>
      <c r="E37" s="87" t="e">
        <f t="shared" si="4"/>
        <v>#REF!</v>
      </c>
      <c r="F37" s="218"/>
    </row>
    <row r="38" spans="1:6" x14ac:dyDescent="0.2">
      <c r="B38" s="86" t="s">
        <v>28</v>
      </c>
      <c r="C38" s="97" t="e">
        <f>HLOOKUP(B38,#REF!,VLOOKUP($A$43,#REF!,3,FALSE),FALSE)/8</f>
        <v>#REF!</v>
      </c>
      <c r="D38" s="85">
        <f t="shared" si="3"/>
        <v>567.84</v>
      </c>
      <c r="E38" s="87" t="e">
        <f t="shared" si="4"/>
        <v>#REF!</v>
      </c>
      <c r="F38" s="218"/>
    </row>
    <row r="39" spans="1:6" x14ac:dyDescent="0.2">
      <c r="B39" s="86" t="s">
        <v>58</v>
      </c>
      <c r="C39" s="97" t="e">
        <f>HLOOKUP(B39,#REF!,VLOOKUP($A$43,#REF!,3,FALSE),FALSE)/8</f>
        <v>#REF!</v>
      </c>
      <c r="D39" s="85">
        <f t="shared" si="3"/>
        <v>567.84</v>
      </c>
      <c r="E39" s="87" t="e">
        <f t="shared" si="4"/>
        <v>#REF!</v>
      </c>
      <c r="F39" s="218"/>
    </row>
    <row r="40" spans="1:6" x14ac:dyDescent="0.2">
      <c r="B40" s="86" t="s">
        <v>94</v>
      </c>
      <c r="C40" s="97" t="e">
        <f>HLOOKUP(B40,#REF!,VLOOKUP($A$43,#REF!,3,FALSE),FALSE)/8</f>
        <v>#REF!</v>
      </c>
      <c r="D40" s="85">
        <f t="shared" si="3"/>
        <v>567.84</v>
      </c>
      <c r="E40" s="87" t="e">
        <f t="shared" si="4"/>
        <v>#REF!</v>
      </c>
      <c r="F40" s="218"/>
    </row>
    <row r="41" spans="1:6" x14ac:dyDescent="0.2">
      <c r="B41" s="86" t="s">
        <v>93</v>
      </c>
      <c r="C41" s="97" t="e">
        <f>HLOOKUP(B41,#REF!,VLOOKUP($A$43,#REF!,3,FALSE),FALSE)/8</f>
        <v>#REF!</v>
      </c>
      <c r="D41" s="85">
        <f t="shared" si="3"/>
        <v>567.84</v>
      </c>
      <c r="E41" s="87" t="e">
        <f t="shared" si="4"/>
        <v>#REF!</v>
      </c>
      <c r="F41" s="218"/>
    </row>
    <row r="42" spans="1:6" x14ac:dyDescent="0.2">
      <c r="B42" s="86" t="s">
        <v>35</v>
      </c>
      <c r="C42" s="84"/>
      <c r="D42" s="90"/>
      <c r="E42" s="87"/>
      <c r="F42" s="218"/>
    </row>
    <row r="43" spans="1:6" ht="13.5" thickBot="1" x14ac:dyDescent="0.25">
      <c r="A43" s="244">
        <v>3</v>
      </c>
      <c r="B43" s="88" t="s">
        <v>34</v>
      </c>
      <c r="C43" s="96" t="e">
        <f>SUM(C35:C42)</f>
        <v>#REF!</v>
      </c>
      <c r="D43" s="91"/>
      <c r="E43" s="138" t="e">
        <f>SUM(E35:E42)</f>
        <v>#REF!</v>
      </c>
      <c r="F43" s="219"/>
    </row>
    <row r="44" spans="1:6" x14ac:dyDescent="0.2">
      <c r="B44" s="94"/>
      <c r="C44" s="94"/>
      <c r="D44" s="68"/>
      <c r="E44" s="68"/>
      <c r="F44" s="225"/>
    </row>
    <row r="45" spans="1:6" ht="13.5" thickBot="1" x14ac:dyDescent="0.25">
      <c r="B45" s="94"/>
      <c r="C45" s="94"/>
      <c r="D45" s="68"/>
      <c r="E45" s="68"/>
      <c r="F45" s="225"/>
    </row>
    <row r="46" spans="1:6" ht="37.5" customHeight="1" x14ac:dyDescent="0.2">
      <c r="B46" s="743" t="e">
        <f>VLOOKUP(A57,#REF!,6,FALSE)</f>
        <v>#REF!</v>
      </c>
      <c r="C46" s="744"/>
      <c r="D46" s="744"/>
      <c r="E46" s="745"/>
      <c r="F46" s="221"/>
    </row>
    <row r="47" spans="1:6" x14ac:dyDescent="0.2">
      <c r="B47" s="746" t="s">
        <v>30</v>
      </c>
      <c r="C47" s="747" t="s">
        <v>31</v>
      </c>
      <c r="D47" s="747" t="s">
        <v>17</v>
      </c>
      <c r="E47" s="748"/>
      <c r="F47" s="216"/>
    </row>
    <row r="48" spans="1:6" x14ac:dyDescent="0.2">
      <c r="B48" s="746"/>
      <c r="C48" s="747"/>
      <c r="D48" s="202" t="s">
        <v>32</v>
      </c>
      <c r="E48" s="203" t="s">
        <v>33</v>
      </c>
      <c r="F48" s="216"/>
    </row>
    <row r="49" spans="1:6" x14ac:dyDescent="0.2">
      <c r="B49" s="86" t="s">
        <v>54</v>
      </c>
      <c r="C49" s="97" t="e">
        <f>HLOOKUP(B49,#REF!,VLOOKUP($A$57,#REF!,3,FALSE),FALSE)/8</f>
        <v>#REF!</v>
      </c>
      <c r="D49" s="85">
        <f t="shared" ref="D49:D55" si="5">VLOOKUP(B49,$B$7:$D$13,3,FALSE)</f>
        <v>781.14</v>
      </c>
      <c r="E49" s="87" t="e">
        <f t="shared" ref="E49:E55" si="6">D49*C49</f>
        <v>#REF!</v>
      </c>
      <c r="F49" s="218"/>
    </row>
    <row r="50" spans="1:6" x14ac:dyDescent="0.2">
      <c r="B50" s="86" t="s">
        <v>26</v>
      </c>
      <c r="C50" s="97" t="e">
        <f>HLOOKUP(B50,#REF!,VLOOKUP($A$57,#REF!,3,FALSE),FALSE)/8</f>
        <v>#REF!</v>
      </c>
      <c r="D50" s="85">
        <f t="shared" si="5"/>
        <v>567.84</v>
      </c>
      <c r="E50" s="87" t="e">
        <f t="shared" si="6"/>
        <v>#REF!</v>
      </c>
      <c r="F50" s="218"/>
    </row>
    <row r="51" spans="1:6" x14ac:dyDescent="0.2">
      <c r="B51" s="86" t="s">
        <v>27</v>
      </c>
      <c r="C51" s="97" t="e">
        <f>HLOOKUP(B51,#REF!,VLOOKUP($A$57,#REF!,3,FALSE),FALSE)/8</f>
        <v>#REF!</v>
      </c>
      <c r="D51" s="85">
        <f t="shared" si="5"/>
        <v>567.84</v>
      </c>
      <c r="E51" s="87" t="e">
        <f t="shared" si="6"/>
        <v>#REF!</v>
      </c>
      <c r="F51" s="218"/>
    </row>
    <row r="52" spans="1:6" x14ac:dyDescent="0.2">
      <c r="B52" s="86" t="s">
        <v>28</v>
      </c>
      <c r="C52" s="97" t="e">
        <f>HLOOKUP(B52,#REF!,VLOOKUP($A$57,#REF!,3,FALSE),FALSE)/8</f>
        <v>#REF!</v>
      </c>
      <c r="D52" s="85">
        <f t="shared" si="5"/>
        <v>567.84</v>
      </c>
      <c r="E52" s="87" t="e">
        <f t="shared" si="6"/>
        <v>#REF!</v>
      </c>
      <c r="F52" s="218"/>
    </row>
    <row r="53" spans="1:6" x14ac:dyDescent="0.2">
      <c r="B53" s="86" t="s">
        <v>58</v>
      </c>
      <c r="C53" s="97" t="e">
        <f>HLOOKUP(B53,#REF!,VLOOKUP($A$57,#REF!,3,FALSE),FALSE)/8</f>
        <v>#REF!</v>
      </c>
      <c r="D53" s="85">
        <f t="shared" si="5"/>
        <v>567.84</v>
      </c>
      <c r="E53" s="87" t="e">
        <f t="shared" si="6"/>
        <v>#REF!</v>
      </c>
      <c r="F53" s="218"/>
    </row>
    <row r="54" spans="1:6" x14ac:dyDescent="0.2">
      <c r="B54" s="86" t="s">
        <v>94</v>
      </c>
      <c r="C54" s="97" t="e">
        <f>HLOOKUP(B54,#REF!,VLOOKUP($A$57,#REF!,3,FALSE),FALSE)/8</f>
        <v>#REF!</v>
      </c>
      <c r="D54" s="85">
        <f t="shared" si="5"/>
        <v>567.84</v>
      </c>
      <c r="E54" s="87" t="e">
        <f t="shared" si="6"/>
        <v>#REF!</v>
      </c>
      <c r="F54" s="218"/>
    </row>
    <row r="55" spans="1:6" x14ac:dyDescent="0.2">
      <c r="B55" s="86" t="s">
        <v>93</v>
      </c>
      <c r="C55" s="97" t="e">
        <f>HLOOKUP(B55,#REF!,VLOOKUP($A$57,#REF!,3,FALSE),FALSE)/8</f>
        <v>#REF!</v>
      </c>
      <c r="D55" s="85">
        <f t="shared" si="5"/>
        <v>567.84</v>
      </c>
      <c r="E55" s="87" t="e">
        <f t="shared" si="6"/>
        <v>#REF!</v>
      </c>
      <c r="F55" s="218"/>
    </row>
    <row r="56" spans="1:6" x14ac:dyDescent="0.2">
      <c r="B56" s="86" t="s">
        <v>35</v>
      </c>
      <c r="C56" s="84"/>
      <c r="D56" s="90"/>
      <c r="E56" s="87"/>
      <c r="F56" s="218"/>
    </row>
    <row r="57" spans="1:6" ht="13.5" thickBot="1" x14ac:dyDescent="0.25">
      <c r="A57" s="244">
        <v>4</v>
      </c>
      <c r="B57" s="88" t="s">
        <v>34</v>
      </c>
      <c r="C57" s="96" t="e">
        <f>SUM(C49:C56)</f>
        <v>#REF!</v>
      </c>
      <c r="D57" s="91"/>
      <c r="E57" s="138" t="e">
        <f>SUM(E49:E56)</f>
        <v>#REF!</v>
      </c>
      <c r="F57" s="219"/>
    </row>
    <row r="58" spans="1:6" ht="13.5" customHeight="1" x14ac:dyDescent="0.2">
      <c r="B58" s="68"/>
      <c r="C58" s="68"/>
      <c r="D58" s="68"/>
      <c r="E58" s="139"/>
      <c r="F58" s="226"/>
    </row>
    <row r="59" spans="1:6" ht="13.5" customHeight="1" thickBot="1" x14ac:dyDescent="0.25">
      <c r="B59" s="69"/>
      <c r="C59" s="69"/>
      <c r="D59" s="69"/>
      <c r="E59" s="69"/>
      <c r="F59" s="224"/>
    </row>
    <row r="60" spans="1:6" ht="39" customHeight="1" x14ac:dyDescent="0.2">
      <c r="B60" s="743" t="e">
        <f>VLOOKUP(A71,#REF!,6,FALSE)</f>
        <v>#REF!</v>
      </c>
      <c r="C60" s="744"/>
      <c r="D60" s="744"/>
      <c r="E60" s="745"/>
      <c r="F60" s="215"/>
    </row>
    <row r="61" spans="1:6" x14ac:dyDescent="0.2">
      <c r="B61" s="746" t="s">
        <v>30</v>
      </c>
      <c r="C61" s="747" t="s">
        <v>31</v>
      </c>
      <c r="D61" s="747" t="s">
        <v>17</v>
      </c>
      <c r="E61" s="748"/>
      <c r="F61" s="216"/>
    </row>
    <row r="62" spans="1:6" x14ac:dyDescent="0.2">
      <c r="B62" s="746"/>
      <c r="C62" s="747"/>
      <c r="D62" s="202" t="s">
        <v>32</v>
      </c>
      <c r="E62" s="203" t="s">
        <v>33</v>
      </c>
      <c r="F62" s="216"/>
    </row>
    <row r="63" spans="1:6" x14ac:dyDescent="0.2">
      <c r="B63" s="86" t="s">
        <v>54</v>
      </c>
      <c r="C63" s="210" t="e">
        <f>HLOOKUP(B63,#REF!,VLOOKUP($A$71,#REF!,3,FALSE),FALSE)/8</f>
        <v>#REF!</v>
      </c>
      <c r="D63" s="85">
        <f t="shared" ref="D63:D69" si="7">VLOOKUP(B63,$B$7:$D$13,3,FALSE)</f>
        <v>781.14</v>
      </c>
      <c r="E63" s="87" t="e">
        <f t="shared" ref="E63:E69" si="8">D63*C63</f>
        <v>#REF!</v>
      </c>
      <c r="F63" s="218"/>
    </row>
    <row r="64" spans="1:6" x14ac:dyDescent="0.2">
      <c r="B64" s="86" t="s">
        <v>26</v>
      </c>
      <c r="C64" s="210" t="e">
        <f>HLOOKUP(B64,#REF!,VLOOKUP($A$71,#REF!,3,FALSE),FALSE)/8</f>
        <v>#REF!</v>
      </c>
      <c r="D64" s="85">
        <f t="shared" si="7"/>
        <v>567.84</v>
      </c>
      <c r="E64" s="87" t="e">
        <f t="shared" si="8"/>
        <v>#REF!</v>
      </c>
      <c r="F64" s="218"/>
    </row>
    <row r="65" spans="1:6" x14ac:dyDescent="0.2">
      <c r="B65" s="86" t="s">
        <v>27</v>
      </c>
      <c r="C65" s="210" t="e">
        <f>HLOOKUP(B65,#REF!,VLOOKUP($A$71,#REF!,3,FALSE),FALSE)/8</f>
        <v>#REF!</v>
      </c>
      <c r="D65" s="85">
        <f t="shared" si="7"/>
        <v>567.84</v>
      </c>
      <c r="E65" s="87" t="e">
        <f t="shared" si="8"/>
        <v>#REF!</v>
      </c>
      <c r="F65" s="218"/>
    </row>
    <row r="66" spans="1:6" x14ac:dyDescent="0.2">
      <c r="B66" s="86" t="s">
        <v>28</v>
      </c>
      <c r="C66" s="210" t="e">
        <f>HLOOKUP(B66,#REF!,VLOOKUP($A$71,#REF!,3,FALSE),FALSE)/8</f>
        <v>#REF!</v>
      </c>
      <c r="D66" s="85">
        <f t="shared" si="7"/>
        <v>567.84</v>
      </c>
      <c r="E66" s="87" t="e">
        <f t="shared" si="8"/>
        <v>#REF!</v>
      </c>
      <c r="F66" s="218"/>
    </row>
    <row r="67" spans="1:6" x14ac:dyDescent="0.2">
      <c r="B67" s="86" t="s">
        <v>58</v>
      </c>
      <c r="C67" s="210" t="e">
        <f>HLOOKUP(B67,#REF!,VLOOKUP($A$71,#REF!,3,FALSE),FALSE)/8</f>
        <v>#REF!</v>
      </c>
      <c r="D67" s="85">
        <f t="shared" si="7"/>
        <v>567.84</v>
      </c>
      <c r="E67" s="87" t="e">
        <f t="shared" si="8"/>
        <v>#REF!</v>
      </c>
      <c r="F67" s="218"/>
    </row>
    <row r="68" spans="1:6" x14ac:dyDescent="0.2">
      <c r="B68" s="86" t="s">
        <v>94</v>
      </c>
      <c r="C68" s="210" t="e">
        <f>HLOOKUP(B68,#REF!,VLOOKUP($A$71,#REF!,3,FALSE),FALSE)/8</f>
        <v>#REF!</v>
      </c>
      <c r="D68" s="85">
        <f t="shared" si="7"/>
        <v>567.84</v>
      </c>
      <c r="E68" s="87" t="e">
        <f t="shared" si="8"/>
        <v>#REF!</v>
      </c>
      <c r="F68" s="218"/>
    </row>
    <row r="69" spans="1:6" x14ac:dyDescent="0.2">
      <c r="B69" s="86" t="s">
        <v>93</v>
      </c>
      <c r="C69" s="210" t="e">
        <f>HLOOKUP(B69,#REF!,VLOOKUP($A$71,#REF!,3,FALSE),FALSE)/8</f>
        <v>#REF!</v>
      </c>
      <c r="D69" s="85">
        <f t="shared" si="7"/>
        <v>567.84</v>
      </c>
      <c r="E69" s="87" t="e">
        <f t="shared" si="8"/>
        <v>#REF!</v>
      </c>
      <c r="F69" s="218"/>
    </row>
    <row r="70" spans="1:6" x14ac:dyDescent="0.2">
      <c r="B70" s="86" t="s">
        <v>35</v>
      </c>
      <c r="C70" s="84"/>
      <c r="D70" s="90"/>
      <c r="E70" s="87"/>
      <c r="F70" s="218"/>
    </row>
    <row r="71" spans="1:6" ht="13.5" thickBot="1" x14ac:dyDescent="0.25">
      <c r="A71" s="244">
        <v>5</v>
      </c>
      <c r="B71" s="88" t="s">
        <v>34</v>
      </c>
      <c r="C71" s="98" t="e">
        <f>SUM(C63:C70)</f>
        <v>#REF!</v>
      </c>
      <c r="D71" s="91"/>
      <c r="E71" s="138" t="e">
        <f>SUM(E63:E70)</f>
        <v>#REF!</v>
      </c>
      <c r="F71" s="219"/>
    </row>
    <row r="72" spans="1:6" x14ac:dyDescent="0.2">
      <c r="B72" s="65"/>
      <c r="C72" s="68"/>
      <c r="D72" s="140"/>
      <c r="E72" s="140"/>
      <c r="F72" s="227"/>
    </row>
    <row r="73" spans="1:6" ht="13.5" thickBot="1" x14ac:dyDescent="0.25">
      <c r="B73" s="68"/>
      <c r="C73" s="68"/>
      <c r="D73" s="68"/>
      <c r="E73" s="68"/>
      <c r="F73" s="225"/>
    </row>
    <row r="74" spans="1:6" ht="51.75" customHeight="1" x14ac:dyDescent="0.2">
      <c r="B74" s="743" t="e">
        <f>VLOOKUP(A85,#REF!,6,FALSE)</f>
        <v>#REF!</v>
      </c>
      <c r="C74" s="744"/>
      <c r="D74" s="744"/>
      <c r="E74" s="745"/>
      <c r="F74" s="221"/>
    </row>
    <row r="75" spans="1:6" x14ac:dyDescent="0.2">
      <c r="B75" s="746" t="s">
        <v>30</v>
      </c>
      <c r="C75" s="747" t="s">
        <v>31</v>
      </c>
      <c r="D75" s="747" t="s">
        <v>17</v>
      </c>
      <c r="E75" s="748"/>
      <c r="F75" s="216"/>
    </row>
    <row r="76" spans="1:6" x14ac:dyDescent="0.2">
      <c r="B76" s="746"/>
      <c r="C76" s="747"/>
      <c r="D76" s="202" t="s">
        <v>32</v>
      </c>
      <c r="E76" s="203" t="s">
        <v>33</v>
      </c>
      <c r="F76" s="216"/>
    </row>
    <row r="77" spans="1:6" x14ac:dyDescent="0.2">
      <c r="B77" s="86" t="s">
        <v>54</v>
      </c>
      <c r="C77" s="97" t="e">
        <f>HLOOKUP(B77,#REF!,VLOOKUP($A$85,#REF!,3,FALSE),FALSE)/8</f>
        <v>#REF!</v>
      </c>
      <c r="D77" s="85">
        <f t="shared" ref="D77:D83" si="9">VLOOKUP(B77,$B$7:$D$13,3,FALSE)</f>
        <v>781.14</v>
      </c>
      <c r="E77" s="87" t="e">
        <f>D77*C77</f>
        <v>#REF!</v>
      </c>
      <c r="F77" s="218"/>
    </row>
    <row r="78" spans="1:6" x14ac:dyDescent="0.2">
      <c r="B78" s="86" t="s">
        <v>26</v>
      </c>
      <c r="C78" s="97" t="e">
        <f>HLOOKUP(B78,#REF!,VLOOKUP($A$85,#REF!,3,FALSE),FALSE)/8</f>
        <v>#REF!</v>
      </c>
      <c r="D78" s="85">
        <f t="shared" si="9"/>
        <v>567.84</v>
      </c>
      <c r="E78" s="87" t="e">
        <f>D78*C78</f>
        <v>#REF!</v>
      </c>
      <c r="F78" s="218"/>
    </row>
    <row r="79" spans="1:6" x14ac:dyDescent="0.2">
      <c r="B79" s="86" t="s">
        <v>27</v>
      </c>
      <c r="C79" s="97" t="e">
        <f>HLOOKUP(B79,#REF!,VLOOKUP($A$85,#REF!,3,FALSE),FALSE)/8</f>
        <v>#REF!</v>
      </c>
      <c r="D79" s="85">
        <f t="shared" si="9"/>
        <v>567.84</v>
      </c>
      <c r="E79" s="87" t="e">
        <f>D79*C79</f>
        <v>#REF!</v>
      </c>
      <c r="F79" s="218"/>
    </row>
    <row r="80" spans="1:6" x14ac:dyDescent="0.2">
      <c r="B80" s="86" t="s">
        <v>28</v>
      </c>
      <c r="C80" s="97" t="e">
        <f>HLOOKUP(B80,#REF!,VLOOKUP($A$85,#REF!,3,FALSE),FALSE)/8</f>
        <v>#REF!</v>
      </c>
      <c r="D80" s="85">
        <f t="shared" si="9"/>
        <v>567.84</v>
      </c>
      <c r="E80" s="87" t="e">
        <f>D80*C80</f>
        <v>#REF!</v>
      </c>
      <c r="F80" s="218"/>
    </row>
    <row r="81" spans="1:6" x14ac:dyDescent="0.2">
      <c r="B81" s="86" t="s">
        <v>58</v>
      </c>
      <c r="C81" s="97" t="e">
        <f>HLOOKUP(B81,#REF!,VLOOKUP($A$85,#REF!,3,FALSE),FALSE)/8</f>
        <v>#REF!</v>
      </c>
      <c r="D81" s="85">
        <f t="shared" si="9"/>
        <v>567.84</v>
      </c>
      <c r="E81" s="87"/>
      <c r="F81" s="218"/>
    </row>
    <row r="82" spans="1:6" x14ac:dyDescent="0.2">
      <c r="B82" s="86" t="s">
        <v>94</v>
      </c>
      <c r="C82" s="97" t="e">
        <f>HLOOKUP(B82,#REF!,VLOOKUP($A$85,#REF!,3,FALSE),FALSE)/8</f>
        <v>#REF!</v>
      </c>
      <c r="D82" s="85">
        <f t="shared" si="9"/>
        <v>567.84</v>
      </c>
      <c r="E82" s="87"/>
      <c r="F82" s="218"/>
    </row>
    <row r="83" spans="1:6" x14ac:dyDescent="0.2">
      <c r="B83" s="86" t="s">
        <v>93</v>
      </c>
      <c r="C83" s="97" t="e">
        <f>HLOOKUP(B83,#REF!,VLOOKUP($A$85,#REF!,3,FALSE),FALSE)/8</f>
        <v>#REF!</v>
      </c>
      <c r="D83" s="85">
        <f t="shared" si="9"/>
        <v>567.84</v>
      </c>
      <c r="E83" s="87" t="e">
        <f>D83*C83</f>
        <v>#REF!</v>
      </c>
      <c r="F83" s="218"/>
    </row>
    <row r="84" spans="1:6" x14ac:dyDescent="0.2">
      <c r="B84" s="86" t="s">
        <v>35</v>
      </c>
      <c r="C84" s="84"/>
      <c r="D84" s="90"/>
      <c r="E84" s="87"/>
      <c r="F84" s="218"/>
    </row>
    <row r="85" spans="1:6" ht="13.5" thickBot="1" x14ac:dyDescent="0.25">
      <c r="A85" s="244">
        <v>6</v>
      </c>
      <c r="B85" s="88" t="s">
        <v>34</v>
      </c>
      <c r="C85" s="98" t="e">
        <f>SUM(C77:C84)</f>
        <v>#REF!</v>
      </c>
      <c r="D85" s="91"/>
      <c r="E85" s="138" t="e">
        <f>SUM(E77:E84)</f>
        <v>#REF!</v>
      </c>
      <c r="F85" s="228"/>
    </row>
    <row r="87" spans="1:6" ht="13.5" thickBot="1" x14ac:dyDescent="0.25"/>
    <row r="88" spans="1:6" ht="51.75" customHeight="1" thickBot="1" x14ac:dyDescent="0.25">
      <c r="B88" s="752" t="e">
        <f>VLOOKUP(A99,DATOS1!$A$4:$AC$22,2,FALSE)</f>
        <v>#N/A</v>
      </c>
      <c r="C88" s="753"/>
      <c r="D88" s="753"/>
      <c r="E88" s="754"/>
      <c r="F88" s="221"/>
    </row>
    <row r="89" spans="1:6" x14ac:dyDescent="0.2">
      <c r="B89" s="746" t="s">
        <v>30</v>
      </c>
      <c r="C89" s="747" t="s">
        <v>31</v>
      </c>
      <c r="D89" s="747" t="s">
        <v>17</v>
      </c>
      <c r="E89" s="748"/>
      <c r="F89" s="216"/>
    </row>
    <row r="90" spans="1:6" x14ac:dyDescent="0.2">
      <c r="B90" s="746"/>
      <c r="C90" s="747"/>
      <c r="D90" s="202" t="s">
        <v>32</v>
      </c>
      <c r="E90" s="203" t="s">
        <v>33</v>
      </c>
      <c r="F90" s="216"/>
    </row>
    <row r="91" spans="1:6" x14ac:dyDescent="0.2">
      <c r="B91" s="86" t="s">
        <v>54</v>
      </c>
      <c r="C91" s="97" t="e">
        <f>HLOOKUP(B91,#REF!,VLOOKUP($A$99,#REF!,3,FALSE),FALSE)/8</f>
        <v>#REF!</v>
      </c>
      <c r="D91" s="85">
        <f t="shared" ref="D91:D97" si="10">VLOOKUP(B91,$B$7:$D$13,3,FALSE)</f>
        <v>781.14</v>
      </c>
      <c r="E91" s="87" t="e">
        <f>D91*C91</f>
        <v>#REF!</v>
      </c>
      <c r="F91" s="218"/>
    </row>
    <row r="92" spans="1:6" x14ac:dyDescent="0.2">
      <c r="B92" s="86" t="s">
        <v>26</v>
      </c>
      <c r="C92" s="97" t="e">
        <f>HLOOKUP(B92,#REF!,VLOOKUP($A$99,#REF!,3,FALSE),FALSE)/8</f>
        <v>#REF!</v>
      </c>
      <c r="D92" s="85">
        <f t="shared" si="10"/>
        <v>567.84</v>
      </c>
      <c r="E92" s="87" t="e">
        <f>D92*C92</f>
        <v>#REF!</v>
      </c>
      <c r="F92" s="218"/>
    </row>
    <row r="93" spans="1:6" x14ac:dyDescent="0.2">
      <c r="B93" s="86" t="s">
        <v>27</v>
      </c>
      <c r="C93" s="97" t="e">
        <f>HLOOKUP(B93,#REF!,VLOOKUP($A$99,#REF!,3,FALSE),FALSE)/8</f>
        <v>#REF!</v>
      </c>
      <c r="D93" s="85">
        <f t="shared" si="10"/>
        <v>567.84</v>
      </c>
      <c r="E93" s="87" t="e">
        <f>D93*C93</f>
        <v>#REF!</v>
      </c>
      <c r="F93" s="218"/>
    </row>
    <row r="94" spans="1:6" x14ac:dyDescent="0.2">
      <c r="B94" s="86" t="s">
        <v>28</v>
      </c>
      <c r="C94" s="97" t="e">
        <f>HLOOKUP(B94,#REF!,VLOOKUP($A$99,#REF!,3,FALSE),FALSE)/8</f>
        <v>#REF!</v>
      </c>
      <c r="D94" s="85">
        <f t="shared" si="10"/>
        <v>567.84</v>
      </c>
      <c r="E94" s="87" t="e">
        <f>D94*C94</f>
        <v>#REF!</v>
      </c>
      <c r="F94" s="218"/>
    </row>
    <row r="95" spans="1:6" x14ac:dyDescent="0.2">
      <c r="B95" s="86" t="s">
        <v>58</v>
      </c>
      <c r="C95" s="97" t="e">
        <f>HLOOKUP(B95,#REF!,VLOOKUP($A$99,#REF!,3,FALSE),FALSE)/8</f>
        <v>#REF!</v>
      </c>
      <c r="D95" s="85">
        <f t="shared" si="10"/>
        <v>567.84</v>
      </c>
      <c r="E95" s="87"/>
      <c r="F95" s="218"/>
    </row>
    <row r="96" spans="1:6" x14ac:dyDescent="0.2">
      <c r="B96" s="86" t="s">
        <v>94</v>
      </c>
      <c r="C96" s="97" t="e">
        <f>HLOOKUP(B96,#REF!,VLOOKUP($A$99,#REF!,3,FALSE),FALSE)/8</f>
        <v>#REF!</v>
      </c>
      <c r="D96" s="85">
        <f t="shared" si="10"/>
        <v>567.84</v>
      </c>
      <c r="E96" s="87"/>
      <c r="F96" s="218"/>
    </row>
    <row r="97" spans="1:6" x14ac:dyDescent="0.2">
      <c r="B97" s="86" t="s">
        <v>93</v>
      </c>
      <c r="C97" s="97" t="e">
        <f>HLOOKUP(B97,#REF!,VLOOKUP($A$99,#REF!,3,FALSE),FALSE)/8</f>
        <v>#REF!</v>
      </c>
      <c r="D97" s="85">
        <f t="shared" si="10"/>
        <v>567.84</v>
      </c>
      <c r="E97" s="87" t="e">
        <f>D97*C97</f>
        <v>#REF!</v>
      </c>
      <c r="F97" s="218"/>
    </row>
    <row r="98" spans="1:6" x14ac:dyDescent="0.2">
      <c r="B98" s="86" t="s">
        <v>35</v>
      </c>
      <c r="C98" s="84"/>
      <c r="D98" s="90"/>
      <c r="E98" s="87"/>
      <c r="F98" s="218"/>
    </row>
    <row r="99" spans="1:6" ht="13.5" thickBot="1" x14ac:dyDescent="0.25">
      <c r="A99" s="244">
        <v>7</v>
      </c>
      <c r="B99" s="88" t="s">
        <v>34</v>
      </c>
      <c r="C99" s="98" t="e">
        <f>SUM(C91:C98)</f>
        <v>#REF!</v>
      </c>
      <c r="D99" s="91"/>
      <c r="E99" s="138" t="e">
        <f>SUM(E91:E98)</f>
        <v>#REF!</v>
      </c>
      <c r="F99" s="228"/>
    </row>
    <row r="101" spans="1:6" s="11" customFormat="1" ht="13.5" customHeight="1" thickBot="1" x14ac:dyDescent="0.25">
      <c r="A101" s="248"/>
      <c r="B101" s="73"/>
      <c r="C101" s="212"/>
      <c r="D101" s="200"/>
      <c r="E101" s="157"/>
      <c r="F101" s="228"/>
    </row>
    <row r="102" spans="1:6" ht="13.5" customHeight="1" thickBot="1" x14ac:dyDescent="0.25">
      <c r="B102" s="752" t="e">
        <f>VLOOKUP(A113,DATOS1!$A$4:$AC$22,2,FALSE)</f>
        <v>#N/A</v>
      </c>
      <c r="C102" s="753"/>
      <c r="D102" s="753"/>
      <c r="E102" s="754"/>
    </row>
    <row r="103" spans="1:6" ht="13.5" customHeight="1" x14ac:dyDescent="0.2">
      <c r="B103" s="746" t="s">
        <v>30</v>
      </c>
      <c r="C103" s="747" t="s">
        <v>31</v>
      </c>
      <c r="D103" s="747" t="s">
        <v>17</v>
      </c>
      <c r="E103" s="748"/>
    </row>
    <row r="104" spans="1:6" ht="25.5" customHeight="1" x14ac:dyDescent="0.2">
      <c r="B104" s="746"/>
      <c r="C104" s="747"/>
      <c r="D104" s="202" t="s">
        <v>32</v>
      </c>
      <c r="E104" s="203" t="s">
        <v>33</v>
      </c>
    </row>
    <row r="105" spans="1:6" x14ac:dyDescent="0.2">
      <c r="B105" s="86" t="s">
        <v>54</v>
      </c>
      <c r="C105" s="97" t="e">
        <f>HLOOKUP(B105,#REF!,VLOOKUP($A$113,#REF!,3,FALSE),FALSE)/8</f>
        <v>#REF!</v>
      </c>
      <c r="D105" s="85">
        <f t="shared" ref="D105:D111" si="11">VLOOKUP(B105,$B$7:$D$13,3,FALSE)</f>
        <v>781.14</v>
      </c>
      <c r="E105" s="87" t="e">
        <f>D105*C105</f>
        <v>#REF!</v>
      </c>
    </row>
    <row r="106" spans="1:6" x14ac:dyDescent="0.2">
      <c r="B106" s="86" t="s">
        <v>26</v>
      </c>
      <c r="C106" s="97" t="e">
        <f>HLOOKUP(B106,#REF!,VLOOKUP($A$113,#REF!,3,FALSE),FALSE)/8</f>
        <v>#REF!</v>
      </c>
      <c r="D106" s="85">
        <f t="shared" si="11"/>
        <v>567.84</v>
      </c>
      <c r="E106" s="87" t="e">
        <f>D106*C106</f>
        <v>#REF!</v>
      </c>
    </row>
    <row r="107" spans="1:6" x14ac:dyDescent="0.2">
      <c r="B107" s="86" t="s">
        <v>27</v>
      </c>
      <c r="C107" s="97" t="e">
        <f>HLOOKUP(B107,#REF!,VLOOKUP($A$113,#REF!,3,FALSE),FALSE)/8</f>
        <v>#REF!</v>
      </c>
      <c r="D107" s="85">
        <f t="shared" si="11"/>
        <v>567.84</v>
      </c>
      <c r="E107" s="87" t="e">
        <f>D107*C107</f>
        <v>#REF!</v>
      </c>
    </row>
    <row r="108" spans="1:6" x14ac:dyDescent="0.2">
      <c r="B108" s="86" t="s">
        <v>28</v>
      </c>
      <c r="C108" s="97" t="e">
        <f>HLOOKUP(B108,#REF!,VLOOKUP($A$113,#REF!,3,FALSE),FALSE)/8</f>
        <v>#REF!</v>
      </c>
      <c r="D108" s="85">
        <f t="shared" si="11"/>
        <v>567.84</v>
      </c>
      <c r="E108" s="87" t="e">
        <f>D108*C108</f>
        <v>#REF!</v>
      </c>
    </row>
    <row r="109" spans="1:6" x14ac:dyDescent="0.2">
      <c r="B109" s="86" t="s">
        <v>58</v>
      </c>
      <c r="C109" s="97" t="e">
        <f>HLOOKUP(B109,#REF!,VLOOKUP($A$113,#REF!,3,FALSE),FALSE)/8</f>
        <v>#REF!</v>
      </c>
      <c r="D109" s="85">
        <f t="shared" si="11"/>
        <v>567.84</v>
      </c>
      <c r="E109" s="87"/>
    </row>
    <row r="110" spans="1:6" x14ac:dyDescent="0.2">
      <c r="B110" s="86" t="s">
        <v>94</v>
      </c>
      <c r="C110" s="97" t="e">
        <f>HLOOKUP(B110,#REF!,VLOOKUP($A$113,#REF!,3,FALSE),FALSE)/8</f>
        <v>#REF!</v>
      </c>
      <c r="D110" s="85">
        <f t="shared" si="11"/>
        <v>567.84</v>
      </c>
      <c r="E110" s="87"/>
    </row>
    <row r="111" spans="1:6" x14ac:dyDescent="0.2">
      <c r="B111" s="86" t="s">
        <v>93</v>
      </c>
      <c r="C111" s="97" t="e">
        <f>HLOOKUP(B111,#REF!,VLOOKUP($A$113,#REF!,3,FALSE),FALSE)/8</f>
        <v>#REF!</v>
      </c>
      <c r="D111" s="85">
        <f t="shared" si="11"/>
        <v>567.84</v>
      </c>
      <c r="E111" s="87" t="e">
        <f>D111*C111</f>
        <v>#REF!</v>
      </c>
    </row>
    <row r="112" spans="1:6" x14ac:dyDescent="0.2">
      <c r="B112" s="86" t="s">
        <v>35</v>
      </c>
      <c r="C112" s="84"/>
      <c r="D112" s="90"/>
      <c r="E112" s="87"/>
    </row>
    <row r="113" spans="1:5" ht="13.5" thickBot="1" x14ac:dyDescent="0.25">
      <c r="A113" s="244">
        <v>8</v>
      </c>
      <c r="B113" s="88" t="s">
        <v>34</v>
      </c>
      <c r="C113" s="98" t="e">
        <f>SUM(C105:C112)</f>
        <v>#REF!</v>
      </c>
      <c r="D113" s="91"/>
      <c r="E113" s="138" t="e">
        <f>SUM(E105:E112)</f>
        <v>#REF!</v>
      </c>
    </row>
    <row r="115" spans="1:5" ht="13.5" thickBot="1" x14ac:dyDescent="0.25"/>
    <row r="116" spans="1:5" ht="13.5" thickBot="1" x14ac:dyDescent="0.25">
      <c r="B116" s="752" t="e">
        <f>VLOOKUP(A127,DATOS1!$A$4:$AC$22,2,FALSE)</f>
        <v>#N/A</v>
      </c>
      <c r="C116" s="753"/>
      <c r="D116" s="753"/>
      <c r="E116" s="754"/>
    </row>
    <row r="117" spans="1:5" x14ac:dyDescent="0.2">
      <c r="B117" s="746" t="s">
        <v>30</v>
      </c>
      <c r="C117" s="747" t="s">
        <v>31</v>
      </c>
      <c r="D117" s="747" t="s">
        <v>17</v>
      </c>
      <c r="E117" s="748"/>
    </row>
    <row r="118" spans="1:5" ht="12.75" customHeight="1" x14ac:dyDescent="0.2">
      <c r="B118" s="746"/>
      <c r="C118" s="747"/>
      <c r="D118" s="202" t="s">
        <v>32</v>
      </c>
      <c r="E118" s="203" t="s">
        <v>33</v>
      </c>
    </row>
    <row r="119" spans="1:5" x14ac:dyDescent="0.2">
      <c r="B119" s="86" t="s">
        <v>54</v>
      </c>
      <c r="C119" s="97" t="e">
        <f>HLOOKUP(B119,#REF!,VLOOKUP($A$127,#REF!,3,FALSE),FALSE)/8</f>
        <v>#REF!</v>
      </c>
      <c r="D119" s="85">
        <f t="shared" ref="D119:D125" si="12">VLOOKUP(B119,$B$7:$D$13,3,FALSE)</f>
        <v>781.14</v>
      </c>
      <c r="E119" s="87" t="e">
        <f>D119*C119</f>
        <v>#REF!</v>
      </c>
    </row>
    <row r="120" spans="1:5" x14ac:dyDescent="0.2">
      <c r="B120" s="86" t="s">
        <v>26</v>
      </c>
      <c r="C120" s="97" t="e">
        <f>HLOOKUP(B120,#REF!,VLOOKUP($A$127,#REF!,3,FALSE),FALSE)/8</f>
        <v>#REF!</v>
      </c>
      <c r="D120" s="85">
        <f t="shared" si="12"/>
        <v>567.84</v>
      </c>
      <c r="E120" s="87" t="e">
        <f>D120*C120</f>
        <v>#REF!</v>
      </c>
    </row>
    <row r="121" spans="1:5" x14ac:dyDescent="0.2">
      <c r="B121" s="86" t="s">
        <v>27</v>
      </c>
      <c r="C121" s="97" t="e">
        <f>HLOOKUP(B121,#REF!,VLOOKUP($A$127,#REF!,3,FALSE),FALSE)/8</f>
        <v>#REF!</v>
      </c>
      <c r="D121" s="85">
        <f t="shared" si="12"/>
        <v>567.84</v>
      </c>
      <c r="E121" s="87" t="e">
        <f>D121*C121</f>
        <v>#REF!</v>
      </c>
    </row>
    <row r="122" spans="1:5" x14ac:dyDescent="0.2">
      <c r="B122" s="86" t="s">
        <v>28</v>
      </c>
      <c r="C122" s="97" t="e">
        <f>HLOOKUP(B122,#REF!,VLOOKUP($A$127,#REF!,3,FALSE),FALSE)/8</f>
        <v>#REF!</v>
      </c>
      <c r="D122" s="85">
        <f t="shared" si="12"/>
        <v>567.84</v>
      </c>
      <c r="E122" s="87" t="e">
        <f>D122*C122</f>
        <v>#REF!</v>
      </c>
    </row>
    <row r="123" spans="1:5" x14ac:dyDescent="0.2">
      <c r="B123" s="86" t="s">
        <v>58</v>
      </c>
      <c r="C123" s="97" t="e">
        <f>HLOOKUP(B123,#REF!,VLOOKUP($A$127,#REF!,3,FALSE),FALSE)/8</f>
        <v>#REF!</v>
      </c>
      <c r="D123" s="85">
        <f t="shared" si="12"/>
        <v>567.84</v>
      </c>
      <c r="E123" s="87"/>
    </row>
    <row r="124" spans="1:5" x14ac:dyDescent="0.2">
      <c r="B124" s="86" t="s">
        <v>94</v>
      </c>
      <c r="C124" s="97" t="e">
        <f>HLOOKUP(B124,#REF!,VLOOKUP($A$127,#REF!,3,FALSE),FALSE)/8</f>
        <v>#REF!</v>
      </c>
      <c r="D124" s="85">
        <f t="shared" si="12"/>
        <v>567.84</v>
      </c>
      <c r="E124" s="87"/>
    </row>
    <row r="125" spans="1:5" x14ac:dyDescent="0.2">
      <c r="B125" s="86" t="s">
        <v>93</v>
      </c>
      <c r="C125" s="97" t="e">
        <f>HLOOKUP(B125,#REF!,VLOOKUP($A$127,#REF!,3,FALSE),FALSE)/8</f>
        <v>#REF!</v>
      </c>
      <c r="D125" s="85">
        <f t="shared" si="12"/>
        <v>567.84</v>
      </c>
      <c r="E125" s="87" t="e">
        <f>D125*C125</f>
        <v>#REF!</v>
      </c>
    </row>
    <row r="126" spans="1:5" x14ac:dyDescent="0.2">
      <c r="B126" s="86" t="s">
        <v>35</v>
      </c>
      <c r="C126" s="84"/>
      <c r="D126" s="90"/>
      <c r="E126" s="87"/>
    </row>
    <row r="127" spans="1:5" ht="13.5" thickBot="1" x14ac:dyDescent="0.25">
      <c r="A127" s="244">
        <v>9</v>
      </c>
      <c r="B127" s="88" t="s">
        <v>34</v>
      </c>
      <c r="C127" s="98" t="e">
        <f>SUM(C119:C126)</f>
        <v>#REF!</v>
      </c>
      <c r="D127" s="91"/>
      <c r="E127" s="138" t="e">
        <f>SUM(E119:E126)</f>
        <v>#REF!</v>
      </c>
    </row>
    <row r="129" spans="1:5" ht="13.5" thickBot="1" x14ac:dyDescent="0.25"/>
    <row r="130" spans="1:5" ht="39.75" customHeight="1" thickBot="1" x14ac:dyDescent="0.25">
      <c r="B130" s="752" t="e">
        <f>VLOOKUP(A141,DATOS1!$A$4:$AC$22,2,FALSE)</f>
        <v>#N/A</v>
      </c>
      <c r="C130" s="753"/>
      <c r="D130" s="753"/>
      <c r="E130" s="754"/>
    </row>
    <row r="131" spans="1:5" x14ac:dyDescent="0.2">
      <c r="B131" s="746" t="s">
        <v>30</v>
      </c>
      <c r="C131" s="747" t="s">
        <v>31</v>
      </c>
      <c r="D131" s="747" t="s">
        <v>17</v>
      </c>
      <c r="E131" s="748"/>
    </row>
    <row r="132" spans="1:5" ht="12.75" customHeight="1" x14ac:dyDescent="0.2">
      <c r="B132" s="746"/>
      <c r="C132" s="747"/>
      <c r="D132" s="202" t="s">
        <v>32</v>
      </c>
      <c r="E132" s="203" t="s">
        <v>33</v>
      </c>
    </row>
    <row r="133" spans="1:5" x14ac:dyDescent="0.2">
      <c r="B133" s="86" t="s">
        <v>54</v>
      </c>
      <c r="C133" s="97" t="e">
        <f>HLOOKUP(B133,#REF!,VLOOKUP($A$141,#REF!,3,FALSE),FALSE)/8</f>
        <v>#REF!</v>
      </c>
      <c r="D133" s="85">
        <f t="shared" ref="D133:D139" si="13">VLOOKUP(B133,$B$7:$D$13,3,FALSE)</f>
        <v>781.14</v>
      </c>
      <c r="E133" s="87" t="e">
        <f>D133*C133</f>
        <v>#REF!</v>
      </c>
    </row>
    <row r="134" spans="1:5" x14ac:dyDescent="0.2">
      <c r="B134" s="86" t="s">
        <v>26</v>
      </c>
      <c r="C134" s="97" t="e">
        <f>HLOOKUP(B134,#REF!,VLOOKUP($A$141,#REF!,3,FALSE),FALSE)/8</f>
        <v>#REF!</v>
      </c>
      <c r="D134" s="85">
        <f t="shared" si="13"/>
        <v>567.84</v>
      </c>
      <c r="E134" s="87" t="e">
        <f>D134*C134</f>
        <v>#REF!</v>
      </c>
    </row>
    <row r="135" spans="1:5" x14ac:dyDescent="0.2">
      <c r="B135" s="86" t="s">
        <v>27</v>
      </c>
      <c r="C135" s="97" t="e">
        <f>HLOOKUP(B135,#REF!,VLOOKUP($A$141,#REF!,3,FALSE),FALSE)/8</f>
        <v>#REF!</v>
      </c>
      <c r="D135" s="85">
        <f t="shared" si="13"/>
        <v>567.84</v>
      </c>
      <c r="E135" s="87" t="e">
        <f>D135*C135</f>
        <v>#REF!</v>
      </c>
    </row>
    <row r="136" spans="1:5" x14ac:dyDescent="0.2">
      <c r="B136" s="86" t="s">
        <v>28</v>
      </c>
      <c r="C136" s="97" t="e">
        <f>HLOOKUP(B136,#REF!,VLOOKUP($A$141,#REF!,3,FALSE),FALSE)/8</f>
        <v>#REF!</v>
      </c>
      <c r="D136" s="85">
        <f t="shared" si="13"/>
        <v>567.84</v>
      </c>
      <c r="E136" s="87" t="e">
        <f>D136*C136</f>
        <v>#REF!</v>
      </c>
    </row>
    <row r="137" spans="1:5" x14ac:dyDescent="0.2">
      <c r="B137" s="86" t="s">
        <v>58</v>
      </c>
      <c r="C137" s="97" t="e">
        <f>HLOOKUP(B137,#REF!,VLOOKUP($A$141,#REF!,3,FALSE),FALSE)/8</f>
        <v>#REF!</v>
      </c>
      <c r="D137" s="85">
        <f t="shared" si="13"/>
        <v>567.84</v>
      </c>
      <c r="E137" s="87"/>
    </row>
    <row r="138" spans="1:5" x14ac:dyDescent="0.2">
      <c r="B138" s="86" t="s">
        <v>94</v>
      </c>
      <c r="C138" s="97" t="e">
        <f>HLOOKUP(B138,#REF!,VLOOKUP($A$141,#REF!,3,FALSE),FALSE)/8</f>
        <v>#REF!</v>
      </c>
      <c r="D138" s="85">
        <f t="shared" si="13"/>
        <v>567.84</v>
      </c>
      <c r="E138" s="87"/>
    </row>
    <row r="139" spans="1:5" x14ac:dyDescent="0.2">
      <c r="B139" s="86" t="s">
        <v>93</v>
      </c>
      <c r="C139" s="97" t="e">
        <f>HLOOKUP(B139,#REF!,VLOOKUP($A$141,#REF!,3,FALSE),FALSE)/8</f>
        <v>#REF!</v>
      </c>
      <c r="D139" s="85">
        <f t="shared" si="13"/>
        <v>567.84</v>
      </c>
      <c r="E139" s="87" t="e">
        <f>D139*C139</f>
        <v>#REF!</v>
      </c>
    </row>
    <row r="140" spans="1:5" x14ac:dyDescent="0.2">
      <c r="B140" s="86" t="s">
        <v>35</v>
      </c>
      <c r="C140" s="84"/>
      <c r="D140" s="90"/>
      <c r="E140" s="87"/>
    </row>
    <row r="141" spans="1:5" ht="13.5" thickBot="1" x14ac:dyDescent="0.25">
      <c r="A141" s="244">
        <v>10</v>
      </c>
      <c r="B141" s="88" t="s">
        <v>34</v>
      </c>
      <c r="C141" s="98" t="e">
        <f>SUM(C133:C140)</f>
        <v>#REF!</v>
      </c>
      <c r="D141" s="91"/>
      <c r="E141" s="138" t="e">
        <f>SUM(E133:E140)</f>
        <v>#REF!</v>
      </c>
    </row>
    <row r="143" spans="1:5" ht="13.5" thickBot="1" x14ac:dyDescent="0.25">
      <c r="B143" s="59"/>
      <c r="C143" s="59"/>
      <c r="D143" s="59"/>
      <c r="E143" s="59"/>
    </row>
    <row r="144" spans="1:5" ht="44.25" customHeight="1" x14ac:dyDescent="0.2">
      <c r="A144" s="231"/>
      <c r="B144" s="743" t="e">
        <f>VLOOKUP(A155,#REF!,6,FALSE)</f>
        <v>#REF!</v>
      </c>
      <c r="C144" s="744"/>
      <c r="D144" s="744"/>
      <c r="E144" s="745"/>
    </row>
    <row r="145" spans="1:5" x14ac:dyDescent="0.2">
      <c r="A145" s="232"/>
      <c r="B145" s="746" t="s">
        <v>30</v>
      </c>
      <c r="C145" s="747" t="s">
        <v>31</v>
      </c>
      <c r="D145" s="747" t="s">
        <v>17</v>
      </c>
      <c r="E145" s="748"/>
    </row>
    <row r="146" spans="1:5" x14ac:dyDescent="0.2">
      <c r="A146" s="232"/>
      <c r="B146" s="746"/>
      <c r="C146" s="747"/>
      <c r="D146" s="202" t="s">
        <v>32</v>
      </c>
      <c r="E146" s="203" t="s">
        <v>33</v>
      </c>
    </row>
    <row r="147" spans="1:5" x14ac:dyDescent="0.2">
      <c r="A147" s="232"/>
      <c r="B147" s="86" t="s">
        <v>54</v>
      </c>
      <c r="C147" s="97" t="e">
        <f>HLOOKUP(B147,#REF!,VLOOKUP($A$155,#REF!,3,FALSE),FALSE)/8</f>
        <v>#REF!</v>
      </c>
      <c r="D147" s="85">
        <f t="shared" ref="D147:D153" si="14">VLOOKUP(B147,$B$7:$D$13,3,FALSE)</f>
        <v>781.14</v>
      </c>
      <c r="E147" s="87" t="e">
        <f>D147*C147</f>
        <v>#REF!</v>
      </c>
    </row>
    <row r="148" spans="1:5" x14ac:dyDescent="0.2">
      <c r="A148" s="232"/>
      <c r="B148" s="86" t="s">
        <v>26</v>
      </c>
      <c r="C148" s="97" t="e">
        <f>HLOOKUP(B148,#REF!,VLOOKUP($A$155,#REF!,3,FALSE),FALSE)/8</f>
        <v>#REF!</v>
      </c>
      <c r="D148" s="85">
        <f t="shared" si="14"/>
        <v>567.84</v>
      </c>
      <c r="E148" s="87" t="e">
        <f>D148*C148</f>
        <v>#REF!</v>
      </c>
    </row>
    <row r="149" spans="1:5" x14ac:dyDescent="0.2">
      <c r="A149" s="232"/>
      <c r="B149" s="86" t="s">
        <v>27</v>
      </c>
      <c r="C149" s="97" t="e">
        <f>HLOOKUP(B149,#REF!,VLOOKUP($A$155,#REF!,3,FALSE),FALSE)/8</f>
        <v>#REF!</v>
      </c>
      <c r="D149" s="85">
        <f t="shared" si="14"/>
        <v>567.84</v>
      </c>
      <c r="E149" s="87" t="e">
        <f>D149*C149</f>
        <v>#REF!</v>
      </c>
    </row>
    <row r="150" spans="1:5" x14ac:dyDescent="0.2">
      <c r="A150" s="232"/>
      <c r="B150" s="86" t="s">
        <v>28</v>
      </c>
      <c r="C150" s="97" t="e">
        <f>HLOOKUP(B150,#REF!,VLOOKUP($A$155,#REF!,3,FALSE),FALSE)/8</f>
        <v>#REF!</v>
      </c>
      <c r="D150" s="85">
        <f t="shared" si="14"/>
        <v>567.84</v>
      </c>
      <c r="E150" s="87" t="e">
        <f>D150*C150</f>
        <v>#REF!</v>
      </c>
    </row>
    <row r="151" spans="1:5" x14ac:dyDescent="0.2">
      <c r="A151" s="232"/>
      <c r="B151" s="86" t="s">
        <v>58</v>
      </c>
      <c r="C151" s="97" t="e">
        <f>HLOOKUP(B151,#REF!,VLOOKUP($A$155,#REF!,3,FALSE),FALSE)/8</f>
        <v>#REF!</v>
      </c>
      <c r="D151" s="85">
        <f t="shared" si="14"/>
        <v>567.84</v>
      </c>
      <c r="E151" s="87"/>
    </row>
    <row r="152" spans="1:5" x14ac:dyDescent="0.2">
      <c r="A152" s="232"/>
      <c r="B152" s="86" t="s">
        <v>94</v>
      </c>
      <c r="C152" s="97" t="e">
        <f>HLOOKUP(B152,#REF!,VLOOKUP($A$155,#REF!,3,FALSE),FALSE)/8</f>
        <v>#REF!</v>
      </c>
      <c r="D152" s="85">
        <f t="shared" si="14"/>
        <v>567.84</v>
      </c>
      <c r="E152" s="87"/>
    </row>
    <row r="153" spans="1:5" x14ac:dyDescent="0.2">
      <c r="A153" s="232"/>
      <c r="B153" s="86" t="s">
        <v>93</v>
      </c>
      <c r="C153" s="97" t="e">
        <f>HLOOKUP(B153,#REF!,VLOOKUP($A$155,#REF!,3,FALSE),FALSE)/8</f>
        <v>#REF!</v>
      </c>
      <c r="D153" s="85">
        <f t="shared" si="14"/>
        <v>567.84</v>
      </c>
      <c r="E153" s="87" t="e">
        <f>D153*C153</f>
        <v>#REF!</v>
      </c>
    </row>
    <row r="154" spans="1:5" x14ac:dyDescent="0.2">
      <c r="A154" s="232"/>
      <c r="B154" s="86" t="s">
        <v>35</v>
      </c>
      <c r="C154" s="84"/>
      <c r="D154" s="90"/>
      <c r="E154" s="87"/>
    </row>
    <row r="155" spans="1:5" ht="13.5" thickBot="1" x14ac:dyDescent="0.25">
      <c r="A155" s="245">
        <v>11</v>
      </c>
      <c r="B155" s="88" t="s">
        <v>34</v>
      </c>
      <c r="C155" s="98" t="e">
        <f>SUM(C147:C154)</f>
        <v>#REF!</v>
      </c>
      <c r="D155" s="91"/>
      <c r="E155" s="138" t="e">
        <f>SUM(E147:E154)</f>
        <v>#REF!</v>
      </c>
    </row>
    <row r="156" spans="1:5" x14ac:dyDescent="0.2">
      <c r="A156" s="232"/>
      <c r="B156" s="201"/>
      <c r="C156" s="201"/>
      <c r="D156" s="201"/>
      <c r="E156" s="201"/>
    </row>
    <row r="157" spans="1:5" ht="13.5" thickBot="1" x14ac:dyDescent="0.25">
      <c r="A157" s="232"/>
      <c r="B157" s="74"/>
      <c r="C157" s="74"/>
      <c r="D157" s="74"/>
      <c r="E157" s="74"/>
    </row>
    <row r="158" spans="1:5" ht="48" customHeight="1" x14ac:dyDescent="0.2">
      <c r="A158" s="233"/>
      <c r="B158" s="743" t="str">
        <f>VLOOKUP(A169,DATOS1!$A$4:$AC$22,2,FALSE)</f>
        <v>1er. Seguimiento al Informe Nº AI/003/2016 de Control Interno sobre Examen de Confiabilidad de los Registros y Estados Financieros del Fondo Nacional de Inversión Productiva y Social al 31/12/2015</v>
      </c>
      <c r="C158" s="744"/>
      <c r="D158" s="744"/>
      <c r="E158" s="745"/>
    </row>
    <row r="159" spans="1:5" x14ac:dyDescent="0.2">
      <c r="A159" s="234"/>
      <c r="B159" s="746" t="s">
        <v>30</v>
      </c>
      <c r="C159" s="747" t="s">
        <v>31</v>
      </c>
      <c r="D159" s="747" t="s">
        <v>17</v>
      </c>
      <c r="E159" s="748"/>
    </row>
    <row r="160" spans="1:5" x14ac:dyDescent="0.2">
      <c r="A160" s="234"/>
      <c r="B160" s="746"/>
      <c r="C160" s="747"/>
      <c r="D160" s="202" t="s">
        <v>32</v>
      </c>
      <c r="E160" s="203" t="s">
        <v>33</v>
      </c>
    </row>
    <row r="161" spans="1:5" x14ac:dyDescent="0.2">
      <c r="A161" s="234"/>
      <c r="B161" s="86" t="s">
        <v>54</v>
      </c>
      <c r="C161" s="97" t="e">
        <f>HLOOKUP(B161,#REF!,VLOOKUP($A$169,#REF!,3,FALSE),FALSE)/8</f>
        <v>#REF!</v>
      </c>
      <c r="D161" s="85">
        <f t="shared" ref="D161:D167" si="15">VLOOKUP(B161,$B$7:$D$13,3,FALSE)</f>
        <v>781.14</v>
      </c>
      <c r="E161" s="87" t="e">
        <f t="shared" ref="E161:E167" si="16">D161*C161</f>
        <v>#REF!</v>
      </c>
    </row>
    <row r="162" spans="1:5" x14ac:dyDescent="0.2">
      <c r="A162" s="234"/>
      <c r="B162" s="86" t="s">
        <v>26</v>
      </c>
      <c r="C162" s="97" t="e">
        <f>HLOOKUP(B162,#REF!,VLOOKUP($A$169,#REF!,3,FALSE),FALSE)/8</f>
        <v>#REF!</v>
      </c>
      <c r="D162" s="85">
        <f t="shared" si="15"/>
        <v>567.84</v>
      </c>
      <c r="E162" s="87" t="e">
        <f t="shared" si="16"/>
        <v>#REF!</v>
      </c>
    </row>
    <row r="163" spans="1:5" x14ac:dyDescent="0.2">
      <c r="A163" s="234"/>
      <c r="B163" s="86" t="s">
        <v>27</v>
      </c>
      <c r="C163" s="97" t="e">
        <f>HLOOKUP(B163,#REF!,VLOOKUP($A$169,#REF!,3,FALSE),FALSE)/8</f>
        <v>#REF!</v>
      </c>
      <c r="D163" s="85">
        <f t="shared" si="15"/>
        <v>567.84</v>
      </c>
      <c r="E163" s="87" t="e">
        <f t="shared" si="16"/>
        <v>#REF!</v>
      </c>
    </row>
    <row r="164" spans="1:5" x14ac:dyDescent="0.2">
      <c r="A164" s="234"/>
      <c r="B164" s="86" t="s">
        <v>28</v>
      </c>
      <c r="C164" s="97" t="e">
        <f>HLOOKUP(B164,#REF!,VLOOKUP($A$169,#REF!,3,FALSE),FALSE)/8</f>
        <v>#REF!</v>
      </c>
      <c r="D164" s="85">
        <f t="shared" si="15"/>
        <v>567.84</v>
      </c>
      <c r="E164" s="87" t="e">
        <f t="shared" si="16"/>
        <v>#REF!</v>
      </c>
    </row>
    <row r="165" spans="1:5" x14ac:dyDescent="0.2">
      <c r="A165" s="234"/>
      <c r="B165" s="86" t="s">
        <v>58</v>
      </c>
      <c r="C165" s="97" t="e">
        <f>HLOOKUP(B165,#REF!,VLOOKUP($A$169,#REF!,3,FALSE),FALSE)/8</f>
        <v>#REF!</v>
      </c>
      <c r="D165" s="85">
        <f t="shared" si="15"/>
        <v>567.84</v>
      </c>
      <c r="E165" s="87" t="e">
        <f t="shared" si="16"/>
        <v>#REF!</v>
      </c>
    </row>
    <row r="166" spans="1:5" x14ac:dyDescent="0.2">
      <c r="A166" s="234"/>
      <c r="B166" s="86" t="s">
        <v>94</v>
      </c>
      <c r="C166" s="97" t="e">
        <f>HLOOKUP(B166,#REF!,VLOOKUP($A$169,#REF!,3,FALSE),FALSE)/8</f>
        <v>#REF!</v>
      </c>
      <c r="D166" s="85">
        <f t="shared" si="15"/>
        <v>567.84</v>
      </c>
      <c r="E166" s="87" t="e">
        <f t="shared" si="16"/>
        <v>#REF!</v>
      </c>
    </row>
    <row r="167" spans="1:5" x14ac:dyDescent="0.2">
      <c r="A167" s="234"/>
      <c r="B167" s="86" t="s">
        <v>93</v>
      </c>
      <c r="C167" s="97" t="e">
        <f>HLOOKUP(B167,#REF!,VLOOKUP($A$169,#REF!,3,FALSE),FALSE)/8</f>
        <v>#REF!</v>
      </c>
      <c r="D167" s="85">
        <f t="shared" si="15"/>
        <v>567.84</v>
      </c>
      <c r="E167" s="87" t="e">
        <f t="shared" si="16"/>
        <v>#REF!</v>
      </c>
    </row>
    <row r="168" spans="1:5" x14ac:dyDescent="0.2">
      <c r="A168" s="234"/>
      <c r="B168" s="86" t="s">
        <v>35</v>
      </c>
      <c r="C168" s="84"/>
      <c r="D168" s="90"/>
      <c r="E168" s="87"/>
    </row>
    <row r="169" spans="1:5" ht="13.5" thickBot="1" x14ac:dyDescent="0.25">
      <c r="A169" s="246">
        <v>12</v>
      </c>
      <c r="B169" s="88" t="s">
        <v>34</v>
      </c>
      <c r="C169" s="98" t="e">
        <f>SUM(C161:C168)</f>
        <v>#REF!</v>
      </c>
      <c r="D169" s="91"/>
      <c r="E169" s="138" t="e">
        <f>SUM(E161:E168)</f>
        <v>#REF!</v>
      </c>
    </row>
    <row r="170" spans="1:5" x14ac:dyDescent="0.2">
      <c r="A170" s="235"/>
      <c r="B170" s="66"/>
      <c r="C170" s="66"/>
      <c r="D170" s="66"/>
      <c r="E170" s="67"/>
    </row>
    <row r="171" spans="1:5" ht="13.5" thickBot="1" x14ac:dyDescent="0.25">
      <c r="A171" s="235"/>
      <c r="B171" s="93"/>
      <c r="C171" s="93"/>
      <c r="D171" s="93"/>
      <c r="E171" s="75"/>
    </row>
    <row r="172" spans="1:5" ht="48" customHeight="1" x14ac:dyDescent="0.2">
      <c r="A172" s="236"/>
      <c r="B172" s="743" t="str">
        <f>VLOOKUP(A183,DATOS1!$A$4:$AC$22,2,FALSE)</f>
        <v>Seguimiento al Informe de Control Interno sobre Examen de Confiabilidad de los Registros y Estados Financieros del Fondo Nacional de Inversión Productiva y Social - Gestiones 2012, 2013 y 2014</v>
      </c>
      <c r="C172" s="744"/>
      <c r="D172" s="744"/>
      <c r="E172" s="745"/>
    </row>
    <row r="173" spans="1:5" x14ac:dyDescent="0.2">
      <c r="A173" s="237"/>
      <c r="B173" s="746" t="s">
        <v>30</v>
      </c>
      <c r="C173" s="747" t="s">
        <v>31</v>
      </c>
      <c r="D173" s="747" t="s">
        <v>17</v>
      </c>
      <c r="E173" s="748"/>
    </row>
    <row r="174" spans="1:5" x14ac:dyDescent="0.2">
      <c r="A174" s="237"/>
      <c r="B174" s="746"/>
      <c r="C174" s="747"/>
      <c r="D174" s="202" t="s">
        <v>32</v>
      </c>
      <c r="E174" s="203" t="s">
        <v>33</v>
      </c>
    </row>
    <row r="175" spans="1:5" x14ac:dyDescent="0.2">
      <c r="A175" s="237"/>
      <c r="B175" s="86" t="s">
        <v>54</v>
      </c>
      <c r="C175" s="97" t="e">
        <f>HLOOKUP(B175,#REF!,VLOOKUP($A$183,#REF!,3,FALSE),FALSE)/8</f>
        <v>#REF!</v>
      </c>
      <c r="D175" s="85">
        <f t="shared" ref="D175:D181" si="17">VLOOKUP(B175,$B$7:$D$13,3,FALSE)</f>
        <v>781.14</v>
      </c>
      <c r="E175" s="87" t="e">
        <f t="shared" ref="E175:E181" si="18">D175*C175</f>
        <v>#REF!</v>
      </c>
    </row>
    <row r="176" spans="1:5" x14ac:dyDescent="0.2">
      <c r="A176" s="237"/>
      <c r="B176" s="86" t="s">
        <v>26</v>
      </c>
      <c r="C176" s="97" t="e">
        <f>HLOOKUP(B176,#REF!,VLOOKUP($A$183,#REF!,3,FALSE),FALSE)/8</f>
        <v>#REF!</v>
      </c>
      <c r="D176" s="85">
        <f t="shared" si="17"/>
        <v>567.84</v>
      </c>
      <c r="E176" s="87" t="e">
        <f t="shared" si="18"/>
        <v>#REF!</v>
      </c>
    </row>
    <row r="177" spans="1:5" x14ac:dyDescent="0.2">
      <c r="A177" s="237"/>
      <c r="B177" s="86" t="s">
        <v>27</v>
      </c>
      <c r="C177" s="97" t="e">
        <f>HLOOKUP(B177,#REF!,VLOOKUP($A$183,#REF!,3,FALSE),FALSE)/8</f>
        <v>#REF!</v>
      </c>
      <c r="D177" s="85">
        <f t="shared" si="17"/>
        <v>567.84</v>
      </c>
      <c r="E177" s="87" t="e">
        <f t="shared" si="18"/>
        <v>#REF!</v>
      </c>
    </row>
    <row r="178" spans="1:5" x14ac:dyDescent="0.2">
      <c r="A178" s="237"/>
      <c r="B178" s="86" t="s">
        <v>28</v>
      </c>
      <c r="C178" s="97" t="e">
        <f>HLOOKUP(B178,#REF!,VLOOKUP($A$183,#REF!,3,FALSE),FALSE)/8</f>
        <v>#REF!</v>
      </c>
      <c r="D178" s="85">
        <f t="shared" si="17"/>
        <v>567.84</v>
      </c>
      <c r="E178" s="87" t="e">
        <f t="shared" si="18"/>
        <v>#REF!</v>
      </c>
    </row>
    <row r="179" spans="1:5" x14ac:dyDescent="0.2">
      <c r="A179" s="237"/>
      <c r="B179" s="86" t="s">
        <v>58</v>
      </c>
      <c r="C179" s="97" t="e">
        <f>HLOOKUP(B179,#REF!,VLOOKUP($A$183,#REF!,3,FALSE),FALSE)/8</f>
        <v>#REF!</v>
      </c>
      <c r="D179" s="85">
        <f t="shared" si="17"/>
        <v>567.84</v>
      </c>
      <c r="E179" s="87" t="e">
        <f t="shared" si="18"/>
        <v>#REF!</v>
      </c>
    </row>
    <row r="180" spans="1:5" x14ac:dyDescent="0.2">
      <c r="A180" s="237"/>
      <c r="B180" s="86" t="s">
        <v>94</v>
      </c>
      <c r="C180" s="97" t="e">
        <f>HLOOKUP(B180,#REF!,VLOOKUP($A$183,#REF!,3,FALSE),FALSE)/8</f>
        <v>#REF!</v>
      </c>
      <c r="D180" s="85">
        <f t="shared" si="17"/>
        <v>567.84</v>
      </c>
      <c r="E180" s="87" t="e">
        <f t="shared" si="18"/>
        <v>#REF!</v>
      </c>
    </row>
    <row r="181" spans="1:5" x14ac:dyDescent="0.2">
      <c r="A181" s="237"/>
      <c r="B181" s="86" t="s">
        <v>93</v>
      </c>
      <c r="C181" s="97" t="e">
        <f>HLOOKUP(B181,#REF!,VLOOKUP($A$183,#REF!,3,FALSE),FALSE)/8</f>
        <v>#REF!</v>
      </c>
      <c r="D181" s="85">
        <f t="shared" si="17"/>
        <v>567.84</v>
      </c>
      <c r="E181" s="87" t="e">
        <f t="shared" si="18"/>
        <v>#REF!</v>
      </c>
    </row>
    <row r="182" spans="1:5" x14ac:dyDescent="0.2">
      <c r="A182" s="237"/>
      <c r="B182" s="86" t="s">
        <v>35</v>
      </c>
      <c r="C182" s="84"/>
      <c r="D182" s="90"/>
      <c r="E182" s="87"/>
    </row>
    <row r="183" spans="1:5" ht="13.5" thickBot="1" x14ac:dyDescent="0.25">
      <c r="A183" s="246">
        <v>13</v>
      </c>
      <c r="B183" s="88" t="s">
        <v>34</v>
      </c>
      <c r="C183" s="98" t="e">
        <f>SUM(C175:C182)</f>
        <v>#REF!</v>
      </c>
      <c r="D183" s="91"/>
      <c r="E183" s="138" t="e">
        <f>SUM(E175:E182)</f>
        <v>#REF!</v>
      </c>
    </row>
    <row r="184" spans="1:5" x14ac:dyDescent="0.2">
      <c r="A184" s="238"/>
      <c r="B184" s="68"/>
      <c r="C184" s="68"/>
      <c r="D184" s="68"/>
      <c r="E184" s="68"/>
    </row>
    <row r="185" spans="1:5" ht="13.5" thickBot="1" x14ac:dyDescent="0.25">
      <c r="A185" s="238"/>
      <c r="B185" s="68"/>
      <c r="C185" s="68"/>
      <c r="D185" s="68"/>
      <c r="E185" s="68"/>
    </row>
    <row r="186" spans="1:5" ht="48" customHeight="1" x14ac:dyDescent="0.2">
      <c r="A186" s="239"/>
      <c r="B186" s="743" t="str">
        <f>VLOOKUP(A197,DATOS1!$A$4:$AC$22,2,FALSE)</f>
        <v>Seguimiento al Informe de Control Interno sobre Examen de Confiabilidad de los Registros y Estados Financieros del Fondo Nacional de Inversión Productiva y Social - Gestiones 2013 y 2015</v>
      </c>
      <c r="C186" s="744"/>
      <c r="D186" s="744"/>
      <c r="E186" s="745"/>
    </row>
    <row r="187" spans="1:5" x14ac:dyDescent="0.2">
      <c r="A187" s="232"/>
      <c r="B187" s="746" t="s">
        <v>30</v>
      </c>
      <c r="C187" s="747" t="s">
        <v>31</v>
      </c>
      <c r="D187" s="747" t="s">
        <v>17</v>
      </c>
      <c r="E187" s="748"/>
    </row>
    <row r="188" spans="1:5" x14ac:dyDescent="0.2">
      <c r="A188" s="232"/>
      <c r="B188" s="746"/>
      <c r="C188" s="747"/>
      <c r="D188" s="202" t="s">
        <v>32</v>
      </c>
      <c r="E188" s="203" t="s">
        <v>33</v>
      </c>
    </row>
    <row r="189" spans="1:5" x14ac:dyDescent="0.2">
      <c r="A189" s="235"/>
      <c r="B189" s="86" t="s">
        <v>54</v>
      </c>
      <c r="C189" s="210" t="e">
        <f>HLOOKUP(B189,#REF!,VLOOKUP($A$197,#REF!,3,FALSE),FALSE)/8</f>
        <v>#REF!</v>
      </c>
      <c r="D189" s="85">
        <f t="shared" ref="D189:D195" si="19">VLOOKUP(B189,$B$7:$D$13,3,FALSE)</f>
        <v>781.14</v>
      </c>
      <c r="E189" s="87" t="e">
        <f t="shared" ref="E189:E195" si="20">D189*C189</f>
        <v>#REF!</v>
      </c>
    </row>
    <row r="190" spans="1:5" x14ac:dyDescent="0.2">
      <c r="A190" s="235"/>
      <c r="B190" s="86" t="s">
        <v>26</v>
      </c>
      <c r="C190" s="210" t="e">
        <f>HLOOKUP(B190,#REF!,VLOOKUP($A$197,#REF!,3,FALSE),FALSE)/8</f>
        <v>#REF!</v>
      </c>
      <c r="D190" s="85">
        <f t="shared" si="19"/>
        <v>567.84</v>
      </c>
      <c r="E190" s="87" t="e">
        <f t="shared" si="20"/>
        <v>#REF!</v>
      </c>
    </row>
    <row r="191" spans="1:5" x14ac:dyDescent="0.2">
      <c r="A191" s="235"/>
      <c r="B191" s="86" t="s">
        <v>27</v>
      </c>
      <c r="C191" s="210" t="e">
        <f>HLOOKUP(B191,#REF!,VLOOKUP($A$197,#REF!,3,FALSE),FALSE)/8</f>
        <v>#REF!</v>
      </c>
      <c r="D191" s="85">
        <f t="shared" si="19"/>
        <v>567.84</v>
      </c>
      <c r="E191" s="87" t="e">
        <f t="shared" si="20"/>
        <v>#REF!</v>
      </c>
    </row>
    <row r="192" spans="1:5" x14ac:dyDescent="0.2">
      <c r="A192" s="235"/>
      <c r="B192" s="86" t="s">
        <v>28</v>
      </c>
      <c r="C192" s="210" t="e">
        <f>HLOOKUP(B192,#REF!,VLOOKUP($A$197,#REF!,3,FALSE),FALSE)/8</f>
        <v>#REF!</v>
      </c>
      <c r="D192" s="85">
        <f t="shared" si="19"/>
        <v>567.84</v>
      </c>
      <c r="E192" s="87" t="e">
        <f t="shared" si="20"/>
        <v>#REF!</v>
      </c>
    </row>
    <row r="193" spans="1:5" x14ac:dyDescent="0.2">
      <c r="A193" s="235"/>
      <c r="B193" s="86" t="s">
        <v>58</v>
      </c>
      <c r="C193" s="210" t="e">
        <f>HLOOKUP(B193,#REF!,VLOOKUP($A$197,#REF!,3,FALSE),FALSE)/8</f>
        <v>#REF!</v>
      </c>
      <c r="D193" s="85">
        <f t="shared" si="19"/>
        <v>567.84</v>
      </c>
      <c r="E193" s="87" t="e">
        <f t="shared" si="20"/>
        <v>#REF!</v>
      </c>
    </row>
    <row r="194" spans="1:5" x14ac:dyDescent="0.2">
      <c r="A194" s="235"/>
      <c r="B194" s="86" t="s">
        <v>94</v>
      </c>
      <c r="C194" s="210" t="e">
        <f>HLOOKUP(B194,#REF!,VLOOKUP($A$197,#REF!,3,FALSE),FALSE)/8</f>
        <v>#REF!</v>
      </c>
      <c r="D194" s="85">
        <f t="shared" si="19"/>
        <v>567.84</v>
      </c>
      <c r="E194" s="87" t="e">
        <f t="shared" si="20"/>
        <v>#REF!</v>
      </c>
    </row>
    <row r="195" spans="1:5" x14ac:dyDescent="0.2">
      <c r="A195" s="238"/>
      <c r="B195" s="86" t="s">
        <v>93</v>
      </c>
      <c r="C195" s="210" t="e">
        <f>HLOOKUP(B195,#REF!,VLOOKUP($A$197,#REF!,3,FALSE),FALSE)/8</f>
        <v>#REF!</v>
      </c>
      <c r="D195" s="85">
        <f t="shared" si="19"/>
        <v>567.84</v>
      </c>
      <c r="E195" s="87" t="e">
        <f t="shared" si="20"/>
        <v>#REF!</v>
      </c>
    </row>
    <row r="196" spans="1:5" x14ac:dyDescent="0.2">
      <c r="A196" s="240"/>
      <c r="B196" s="86" t="s">
        <v>35</v>
      </c>
      <c r="C196" s="84"/>
      <c r="D196" s="90"/>
      <c r="E196" s="87"/>
    </row>
    <row r="197" spans="1:5" ht="13.5" thickBot="1" x14ac:dyDescent="0.25">
      <c r="A197" s="247">
        <v>14</v>
      </c>
      <c r="B197" s="88" t="s">
        <v>34</v>
      </c>
      <c r="C197" s="96" t="e">
        <f>SUM(C189:C196)</f>
        <v>#REF!</v>
      </c>
      <c r="D197" s="91"/>
      <c r="E197" s="211" t="e">
        <f>SUM(E189:E196)</f>
        <v>#REF!</v>
      </c>
    </row>
    <row r="198" spans="1:5" x14ac:dyDescent="0.2">
      <c r="A198" s="240"/>
      <c r="B198" s="73"/>
      <c r="C198" s="73"/>
      <c r="D198" s="200"/>
      <c r="E198" s="95"/>
    </row>
    <row r="199" spans="1:5" ht="13.5" thickBot="1" x14ac:dyDescent="0.25">
      <c r="A199" s="240"/>
      <c r="B199" s="11"/>
    </row>
    <row r="200" spans="1:5" ht="48" customHeight="1" x14ac:dyDescent="0.2">
      <c r="A200" s="241"/>
      <c r="B200" s="743" t="str">
        <f>VLOOKUP(A211,DATOS1!$A$4:$AC$22,2,FALSE)</f>
        <v>2do. Seguimiento al Informe de Control Interno sobre Examen de Confiabilidad de los Registros y Estados Financieros del Fondo Nacional de Inversión Productiva y Social - FPS al 31-12 2013</v>
      </c>
      <c r="C200" s="744"/>
      <c r="D200" s="744"/>
      <c r="E200" s="745"/>
    </row>
    <row r="201" spans="1:5" ht="13.5" customHeight="1" x14ac:dyDescent="0.2">
      <c r="A201" s="242"/>
      <c r="B201" s="746" t="s">
        <v>30</v>
      </c>
      <c r="C201" s="747" t="s">
        <v>31</v>
      </c>
      <c r="D201" s="747" t="s">
        <v>17</v>
      </c>
      <c r="E201" s="748"/>
    </row>
    <row r="202" spans="1:5" x14ac:dyDescent="0.2">
      <c r="A202" s="242"/>
      <c r="B202" s="746"/>
      <c r="C202" s="747"/>
      <c r="D202" s="202" t="s">
        <v>32</v>
      </c>
      <c r="E202" s="203" t="s">
        <v>33</v>
      </c>
    </row>
    <row r="203" spans="1:5" x14ac:dyDescent="0.2">
      <c r="A203" s="242"/>
      <c r="B203" s="86" t="s">
        <v>54</v>
      </c>
      <c r="C203" s="210" t="e">
        <f>HLOOKUP(B203,#REF!,VLOOKUP($A$211,#REF!,3,FALSE),FALSE)/8</f>
        <v>#REF!</v>
      </c>
      <c r="D203" s="85">
        <f t="shared" ref="D203:D209" si="21">VLOOKUP(B203,$B$7:$D$13,3,FALSE)</f>
        <v>781.14</v>
      </c>
      <c r="E203" s="87" t="e">
        <f t="shared" ref="E203:E209" si="22">D203*C203</f>
        <v>#REF!</v>
      </c>
    </row>
    <row r="204" spans="1:5" x14ac:dyDescent="0.2">
      <c r="A204" s="242"/>
      <c r="B204" s="86" t="s">
        <v>26</v>
      </c>
      <c r="C204" s="210" t="e">
        <f>HLOOKUP(B204,#REF!,VLOOKUP($A$211,#REF!,3,FALSE),FALSE)/8</f>
        <v>#REF!</v>
      </c>
      <c r="D204" s="85">
        <f t="shared" si="21"/>
        <v>567.84</v>
      </c>
      <c r="E204" s="87" t="e">
        <f t="shared" si="22"/>
        <v>#REF!</v>
      </c>
    </row>
    <row r="205" spans="1:5" x14ac:dyDescent="0.2">
      <c r="A205" s="242"/>
      <c r="B205" s="86" t="s">
        <v>27</v>
      </c>
      <c r="C205" s="210" t="e">
        <f>HLOOKUP(B205,#REF!,VLOOKUP($A$211,#REF!,3,FALSE),FALSE)/8</f>
        <v>#REF!</v>
      </c>
      <c r="D205" s="85">
        <f t="shared" si="21"/>
        <v>567.84</v>
      </c>
      <c r="E205" s="87" t="e">
        <f t="shared" si="22"/>
        <v>#REF!</v>
      </c>
    </row>
    <row r="206" spans="1:5" x14ac:dyDescent="0.2">
      <c r="A206" s="242"/>
      <c r="B206" s="86" t="s">
        <v>28</v>
      </c>
      <c r="C206" s="210" t="e">
        <f>HLOOKUP(B206,#REF!,VLOOKUP($A$211,#REF!,3,FALSE),FALSE)/8</f>
        <v>#REF!</v>
      </c>
      <c r="D206" s="85">
        <f t="shared" si="21"/>
        <v>567.84</v>
      </c>
      <c r="E206" s="87" t="e">
        <f t="shared" si="22"/>
        <v>#REF!</v>
      </c>
    </row>
    <row r="207" spans="1:5" x14ac:dyDescent="0.2">
      <c r="A207" s="242"/>
      <c r="B207" s="86" t="s">
        <v>58</v>
      </c>
      <c r="C207" s="210" t="e">
        <f>HLOOKUP(B207,#REF!,VLOOKUP($A$211,#REF!,3,FALSE),FALSE)/8</f>
        <v>#REF!</v>
      </c>
      <c r="D207" s="85">
        <f t="shared" si="21"/>
        <v>567.84</v>
      </c>
      <c r="E207" s="87" t="e">
        <f t="shared" si="22"/>
        <v>#REF!</v>
      </c>
    </row>
    <row r="208" spans="1:5" x14ac:dyDescent="0.2">
      <c r="A208" s="242"/>
      <c r="B208" s="86" t="s">
        <v>94</v>
      </c>
      <c r="C208" s="210" t="e">
        <f>HLOOKUP(B208,#REF!,VLOOKUP($A$211,#REF!,3,FALSE),FALSE)/8</f>
        <v>#REF!</v>
      </c>
      <c r="D208" s="85">
        <f t="shared" si="21"/>
        <v>567.84</v>
      </c>
      <c r="E208" s="87" t="e">
        <f t="shared" si="22"/>
        <v>#REF!</v>
      </c>
    </row>
    <row r="209" spans="1:5" x14ac:dyDescent="0.2">
      <c r="A209" s="242"/>
      <c r="B209" s="86" t="s">
        <v>93</v>
      </c>
      <c r="C209" s="210" t="e">
        <f>HLOOKUP(B209,#REF!,VLOOKUP($A$211,#REF!,3,FALSE),FALSE)/8</f>
        <v>#REF!</v>
      </c>
      <c r="D209" s="85">
        <f t="shared" si="21"/>
        <v>567.84</v>
      </c>
      <c r="E209" s="87" t="e">
        <f t="shared" si="22"/>
        <v>#REF!</v>
      </c>
    </row>
    <row r="210" spans="1:5" x14ac:dyDescent="0.2">
      <c r="A210" s="240"/>
      <c r="B210" s="86" t="s">
        <v>35</v>
      </c>
      <c r="C210" s="84"/>
      <c r="D210" s="90"/>
      <c r="E210" s="87"/>
    </row>
    <row r="211" spans="1:5" ht="13.5" thickBot="1" x14ac:dyDescent="0.25">
      <c r="A211" s="247">
        <v>15</v>
      </c>
      <c r="B211" s="88" t="s">
        <v>34</v>
      </c>
      <c r="C211" s="96" t="e">
        <f>SUM(C203:C210)</f>
        <v>#REF!</v>
      </c>
      <c r="D211" s="91"/>
      <c r="E211" s="211" t="e">
        <f>SUM(E203:E210)</f>
        <v>#REF!</v>
      </c>
    </row>
    <row r="212" spans="1:5" x14ac:dyDescent="0.2">
      <c r="A212" s="240"/>
      <c r="B212" s="73"/>
      <c r="C212" s="208"/>
      <c r="D212" s="200"/>
      <c r="E212" s="209"/>
    </row>
    <row r="213" spans="1:5" ht="12" customHeight="1" thickBot="1" x14ac:dyDescent="0.25">
      <c r="A213" s="243"/>
      <c r="B213" s="140"/>
      <c r="C213" s="65"/>
      <c r="D213" s="65"/>
      <c r="E213" s="65"/>
    </row>
    <row r="214" spans="1:5" ht="48" customHeight="1" x14ac:dyDescent="0.2">
      <c r="B214" s="743" t="e">
        <f>VLOOKUP(A225,DATOS1!$A$4:$AC$22,2,FALSE)</f>
        <v>#N/A</v>
      </c>
      <c r="C214" s="744"/>
      <c r="D214" s="744"/>
      <c r="E214" s="745"/>
    </row>
    <row r="215" spans="1:5" x14ac:dyDescent="0.2">
      <c r="B215" s="746" t="s">
        <v>30</v>
      </c>
      <c r="C215" s="747" t="s">
        <v>31</v>
      </c>
      <c r="D215" s="747" t="s">
        <v>17</v>
      </c>
      <c r="E215" s="748"/>
    </row>
    <row r="216" spans="1:5" x14ac:dyDescent="0.2">
      <c r="B216" s="746"/>
      <c r="C216" s="747"/>
      <c r="D216" s="202" t="s">
        <v>32</v>
      </c>
      <c r="E216" s="203" t="s">
        <v>33</v>
      </c>
    </row>
    <row r="217" spans="1:5" x14ac:dyDescent="0.2">
      <c r="B217" s="86" t="s">
        <v>54</v>
      </c>
      <c r="C217" s="97" t="e">
        <f>HLOOKUP(B217,#REF!,VLOOKUP($A$225,#REF!,3,FALSE),FALSE)/8</f>
        <v>#REF!</v>
      </c>
      <c r="D217" s="85">
        <f t="shared" ref="D217:D223" si="23">VLOOKUP(B217,$B$7:$D$13,3,FALSE)</f>
        <v>781.14</v>
      </c>
      <c r="E217" s="87" t="e">
        <f>D217*C217</f>
        <v>#REF!</v>
      </c>
    </row>
    <row r="218" spans="1:5" x14ac:dyDescent="0.2">
      <c r="B218" s="86" t="s">
        <v>26</v>
      </c>
      <c r="C218" s="97" t="e">
        <f>HLOOKUP(B218,#REF!,VLOOKUP($A$225,#REF!,3,FALSE),FALSE)/8</f>
        <v>#REF!</v>
      </c>
      <c r="D218" s="85">
        <f t="shared" si="23"/>
        <v>567.84</v>
      </c>
      <c r="E218" s="87" t="e">
        <f>D218*C218</f>
        <v>#REF!</v>
      </c>
    </row>
    <row r="219" spans="1:5" x14ac:dyDescent="0.2">
      <c r="B219" s="86" t="s">
        <v>27</v>
      </c>
      <c r="C219" s="97" t="e">
        <f>HLOOKUP(B219,#REF!,VLOOKUP($A$225,#REF!,3,FALSE),FALSE)/8</f>
        <v>#REF!</v>
      </c>
      <c r="D219" s="85">
        <f t="shared" si="23"/>
        <v>567.84</v>
      </c>
      <c r="E219" s="87" t="e">
        <f>D219*C219</f>
        <v>#REF!</v>
      </c>
    </row>
    <row r="220" spans="1:5" x14ac:dyDescent="0.2">
      <c r="B220" s="86" t="s">
        <v>28</v>
      </c>
      <c r="C220" s="97" t="e">
        <f>HLOOKUP(B220,#REF!,VLOOKUP($A$225,#REF!,3,FALSE),FALSE)/8</f>
        <v>#REF!</v>
      </c>
      <c r="D220" s="85">
        <f t="shared" si="23"/>
        <v>567.84</v>
      </c>
      <c r="E220" s="87" t="e">
        <f>D220*C220</f>
        <v>#REF!</v>
      </c>
    </row>
    <row r="221" spans="1:5" x14ac:dyDescent="0.2">
      <c r="B221" s="86" t="s">
        <v>58</v>
      </c>
      <c r="C221" s="97" t="e">
        <f>HLOOKUP(B221,#REF!,VLOOKUP($A$225,#REF!,3,FALSE),FALSE)/8</f>
        <v>#REF!</v>
      </c>
      <c r="D221" s="85">
        <f t="shared" si="23"/>
        <v>567.84</v>
      </c>
      <c r="E221" s="87"/>
    </row>
    <row r="222" spans="1:5" x14ac:dyDescent="0.2">
      <c r="B222" s="86" t="s">
        <v>94</v>
      </c>
      <c r="C222" s="97" t="e">
        <f>HLOOKUP(B222,#REF!,VLOOKUP($A$225,#REF!,3,FALSE),FALSE)/8</f>
        <v>#REF!</v>
      </c>
      <c r="D222" s="85">
        <f t="shared" si="23"/>
        <v>567.84</v>
      </c>
      <c r="E222" s="87"/>
    </row>
    <row r="223" spans="1:5" x14ac:dyDescent="0.2">
      <c r="B223" s="86" t="s">
        <v>93</v>
      </c>
      <c r="C223" s="97" t="e">
        <f>HLOOKUP(B223,#REF!,VLOOKUP($A$225,#REF!,3,FALSE),FALSE)/8</f>
        <v>#REF!</v>
      </c>
      <c r="D223" s="85">
        <f t="shared" si="23"/>
        <v>567.84</v>
      </c>
      <c r="E223" s="87" t="e">
        <f>D223*C223</f>
        <v>#REF!</v>
      </c>
    </row>
    <row r="224" spans="1:5" x14ac:dyDescent="0.2">
      <c r="B224" s="86" t="s">
        <v>35</v>
      </c>
      <c r="C224" s="84"/>
      <c r="D224" s="90"/>
      <c r="E224" s="87"/>
    </row>
    <row r="225" spans="1:5" ht="13.5" thickBot="1" x14ac:dyDescent="0.25">
      <c r="A225" s="244">
        <v>16</v>
      </c>
      <c r="B225" s="88" t="s">
        <v>34</v>
      </c>
      <c r="C225" s="98" t="e">
        <f>SUM(C217:C224)</f>
        <v>#REF!</v>
      </c>
      <c r="D225" s="91"/>
      <c r="E225" s="138" t="e">
        <f>SUM(E217:E224)</f>
        <v>#REF!</v>
      </c>
    </row>
    <row r="227" spans="1:5" ht="13.5" thickBot="1" x14ac:dyDescent="0.25"/>
    <row r="228" spans="1:5" ht="48" customHeight="1" x14ac:dyDescent="0.2">
      <c r="B228" s="743" t="str">
        <f>VLOOKUP(A239,DATOS1!$A$4:$AC$22,2,FALSE)</f>
        <v>Seguimiento al Informe Nº AI/003/2017 de Control Interno sobre Examen de Confiabilidad de los Registros y Estados Financieros del Fondo Nacional de Inversión Productiva y Social al 31/12/2016</v>
      </c>
      <c r="C228" s="744"/>
      <c r="D228" s="744"/>
      <c r="E228" s="745"/>
    </row>
    <row r="229" spans="1:5" x14ac:dyDescent="0.2">
      <c r="B229" s="746" t="s">
        <v>30</v>
      </c>
      <c r="C229" s="747" t="s">
        <v>31</v>
      </c>
      <c r="D229" s="747" t="s">
        <v>17</v>
      </c>
      <c r="E229" s="748"/>
    </row>
    <row r="230" spans="1:5" x14ac:dyDescent="0.2">
      <c r="B230" s="746"/>
      <c r="C230" s="747"/>
      <c r="D230" s="202" t="s">
        <v>32</v>
      </c>
      <c r="E230" s="203" t="s">
        <v>33</v>
      </c>
    </row>
    <row r="231" spans="1:5" x14ac:dyDescent="0.2">
      <c r="B231" s="86" t="s">
        <v>54</v>
      </c>
      <c r="C231" s="97" t="e">
        <f>HLOOKUP(B231,#REF!,VLOOKUP($A$239,#REF!,3,FALSE),FALSE)/8</f>
        <v>#REF!</v>
      </c>
      <c r="D231" s="85">
        <f t="shared" ref="D231:D237" si="24">VLOOKUP(B231,$B$7:$D$13,3,FALSE)</f>
        <v>781.14</v>
      </c>
      <c r="E231" s="87" t="e">
        <f t="shared" ref="E231:E237" si="25">D231*C231</f>
        <v>#REF!</v>
      </c>
    </row>
    <row r="232" spans="1:5" x14ac:dyDescent="0.2">
      <c r="B232" s="86" t="s">
        <v>26</v>
      </c>
      <c r="C232" s="97" t="e">
        <f>HLOOKUP(B232,#REF!,VLOOKUP($A$239,#REF!,3,FALSE),FALSE)/8</f>
        <v>#REF!</v>
      </c>
      <c r="D232" s="85">
        <f t="shared" si="24"/>
        <v>567.84</v>
      </c>
      <c r="E232" s="87" t="e">
        <f t="shared" si="25"/>
        <v>#REF!</v>
      </c>
    </row>
    <row r="233" spans="1:5" x14ac:dyDescent="0.2">
      <c r="B233" s="86" t="s">
        <v>27</v>
      </c>
      <c r="C233" s="97" t="e">
        <f>HLOOKUP(B233,#REF!,VLOOKUP($A$239,#REF!,3,FALSE),FALSE)/8</f>
        <v>#REF!</v>
      </c>
      <c r="D233" s="85">
        <f t="shared" si="24"/>
        <v>567.84</v>
      </c>
      <c r="E233" s="87" t="e">
        <f t="shared" si="25"/>
        <v>#REF!</v>
      </c>
    </row>
    <row r="234" spans="1:5" x14ac:dyDescent="0.2">
      <c r="B234" s="86" t="s">
        <v>28</v>
      </c>
      <c r="C234" s="97" t="e">
        <f>HLOOKUP(B234,#REF!,VLOOKUP($A$239,#REF!,3,FALSE),FALSE)/8</f>
        <v>#REF!</v>
      </c>
      <c r="D234" s="85">
        <f t="shared" si="24"/>
        <v>567.84</v>
      </c>
      <c r="E234" s="87" t="e">
        <f t="shared" si="25"/>
        <v>#REF!</v>
      </c>
    </row>
    <row r="235" spans="1:5" x14ac:dyDescent="0.2">
      <c r="B235" s="86" t="s">
        <v>58</v>
      </c>
      <c r="C235" s="97" t="e">
        <f>HLOOKUP(B235,#REF!,VLOOKUP($A$239,#REF!,3,FALSE),FALSE)/8</f>
        <v>#REF!</v>
      </c>
      <c r="D235" s="85">
        <f t="shared" si="24"/>
        <v>567.84</v>
      </c>
      <c r="E235" s="87" t="e">
        <f t="shared" si="25"/>
        <v>#REF!</v>
      </c>
    </row>
    <row r="236" spans="1:5" x14ac:dyDescent="0.2">
      <c r="B236" s="86" t="s">
        <v>94</v>
      </c>
      <c r="C236" s="97" t="e">
        <f>HLOOKUP(B236,#REF!,VLOOKUP($A$239,#REF!,3,FALSE),FALSE)/8</f>
        <v>#REF!</v>
      </c>
      <c r="D236" s="85">
        <f t="shared" si="24"/>
        <v>567.84</v>
      </c>
      <c r="E236" s="87" t="e">
        <f t="shared" si="25"/>
        <v>#REF!</v>
      </c>
    </row>
    <row r="237" spans="1:5" x14ac:dyDescent="0.2">
      <c r="B237" s="86" t="s">
        <v>93</v>
      </c>
      <c r="C237" s="97" t="e">
        <f>HLOOKUP(B237,#REF!,VLOOKUP($A$239,#REF!,3,FALSE),FALSE)/8</f>
        <v>#REF!</v>
      </c>
      <c r="D237" s="85">
        <f t="shared" si="24"/>
        <v>567.84</v>
      </c>
      <c r="E237" s="87" t="e">
        <f t="shared" si="25"/>
        <v>#REF!</v>
      </c>
    </row>
    <row r="238" spans="1:5" x14ac:dyDescent="0.2">
      <c r="B238" s="86" t="s">
        <v>35</v>
      </c>
      <c r="C238" s="85"/>
      <c r="D238" s="90"/>
      <c r="E238" s="87"/>
    </row>
    <row r="239" spans="1:5" ht="13.5" thickBot="1" x14ac:dyDescent="0.25">
      <c r="A239" s="244">
        <v>17</v>
      </c>
      <c r="B239" s="88" t="s">
        <v>34</v>
      </c>
      <c r="C239" s="98" t="e">
        <f>SUM(C231:C238)</f>
        <v>#REF!</v>
      </c>
      <c r="D239" s="91"/>
      <c r="E239" s="142" t="e">
        <f>SUM(E231:E238)</f>
        <v>#REF!</v>
      </c>
    </row>
    <row r="241" spans="1:6" ht="13.5" thickBot="1" x14ac:dyDescent="0.25"/>
    <row r="242" spans="1:6" ht="48" customHeight="1" x14ac:dyDescent="0.2">
      <c r="B242" s="743" t="e">
        <f>VLOOKUP(A253,DATOS1!$A$4:$AC$22,2,FALSE)</f>
        <v>#N/A</v>
      </c>
      <c r="C242" s="744"/>
      <c r="D242" s="744"/>
      <c r="E242" s="745"/>
    </row>
    <row r="243" spans="1:6" x14ac:dyDescent="0.2">
      <c r="B243" s="746" t="s">
        <v>30</v>
      </c>
      <c r="C243" s="747" t="s">
        <v>31</v>
      </c>
      <c r="D243" s="747" t="s">
        <v>17</v>
      </c>
      <c r="E243" s="748"/>
    </row>
    <row r="244" spans="1:6" x14ac:dyDescent="0.2">
      <c r="B244" s="746"/>
      <c r="C244" s="747"/>
      <c r="D244" s="202" t="s">
        <v>32</v>
      </c>
      <c r="E244" s="203" t="s">
        <v>33</v>
      </c>
    </row>
    <row r="245" spans="1:6" x14ac:dyDescent="0.2">
      <c r="B245" s="86" t="s">
        <v>54</v>
      </c>
      <c r="C245" s="97" t="e">
        <f>HLOOKUP(B245,#REF!,VLOOKUP($A$253,#REF!,3,FALSE),FALSE)/8</f>
        <v>#REF!</v>
      </c>
      <c r="D245" s="85">
        <f t="shared" ref="D245:D251" si="26">VLOOKUP(B245,$B$7:$D$13,3,FALSE)</f>
        <v>781.14</v>
      </c>
      <c r="E245" s="87" t="e">
        <f>D245*C245</f>
        <v>#REF!</v>
      </c>
    </row>
    <row r="246" spans="1:6" x14ac:dyDescent="0.2">
      <c r="B246" s="86" t="s">
        <v>26</v>
      </c>
      <c r="C246" s="97" t="e">
        <f>HLOOKUP(B246,#REF!,VLOOKUP($A$253,#REF!,3,FALSE),FALSE)/8</f>
        <v>#REF!</v>
      </c>
      <c r="D246" s="85">
        <f t="shared" si="26"/>
        <v>567.84</v>
      </c>
      <c r="E246" s="87" t="e">
        <f>D246*C246</f>
        <v>#REF!</v>
      </c>
    </row>
    <row r="247" spans="1:6" x14ac:dyDescent="0.2">
      <c r="B247" s="86" t="s">
        <v>27</v>
      </c>
      <c r="C247" s="97" t="e">
        <f>HLOOKUP(B247,#REF!,VLOOKUP($A$253,#REF!,3,FALSE),FALSE)/8</f>
        <v>#REF!</v>
      </c>
      <c r="D247" s="85">
        <f t="shared" si="26"/>
        <v>567.84</v>
      </c>
      <c r="E247" s="87" t="e">
        <f>D247*C247</f>
        <v>#REF!</v>
      </c>
    </row>
    <row r="248" spans="1:6" x14ac:dyDescent="0.2">
      <c r="B248" s="86" t="s">
        <v>28</v>
      </c>
      <c r="C248" s="97" t="e">
        <f>HLOOKUP(B248,#REF!,VLOOKUP($A$253,#REF!,3,FALSE),FALSE)/8</f>
        <v>#REF!</v>
      </c>
      <c r="D248" s="85">
        <f t="shared" si="26"/>
        <v>567.84</v>
      </c>
      <c r="E248" s="87" t="e">
        <f>D248*C248</f>
        <v>#REF!</v>
      </c>
    </row>
    <row r="249" spans="1:6" x14ac:dyDescent="0.2">
      <c r="B249" s="86" t="s">
        <v>58</v>
      </c>
      <c r="C249" s="97" t="e">
        <f>HLOOKUP(B249,#REF!,VLOOKUP($A$253,#REF!,3,FALSE),FALSE)/8</f>
        <v>#REF!</v>
      </c>
      <c r="D249" s="85">
        <f t="shared" si="26"/>
        <v>567.84</v>
      </c>
      <c r="E249" s="87"/>
    </row>
    <row r="250" spans="1:6" x14ac:dyDescent="0.2">
      <c r="B250" s="86" t="s">
        <v>94</v>
      </c>
      <c r="C250" s="97" t="e">
        <f>HLOOKUP(B250,#REF!,VLOOKUP($A$253,#REF!,3,FALSE),FALSE)/8</f>
        <v>#REF!</v>
      </c>
      <c r="D250" s="85">
        <f t="shared" si="26"/>
        <v>567.84</v>
      </c>
      <c r="E250" s="87"/>
    </row>
    <row r="251" spans="1:6" x14ac:dyDescent="0.2">
      <c r="B251" s="86" t="s">
        <v>93</v>
      </c>
      <c r="C251" s="97" t="e">
        <f>HLOOKUP(B251,#REF!,VLOOKUP($A$253,#REF!,3,FALSE),FALSE)/8</f>
        <v>#REF!</v>
      </c>
      <c r="D251" s="85">
        <f t="shared" si="26"/>
        <v>567.84</v>
      </c>
      <c r="E251" s="87" t="e">
        <f>D251*C251</f>
        <v>#REF!</v>
      </c>
    </row>
    <row r="252" spans="1:6" x14ac:dyDescent="0.2">
      <c r="B252" s="86" t="s">
        <v>35</v>
      </c>
      <c r="C252" s="84"/>
      <c r="D252" s="90"/>
      <c r="E252" s="87"/>
    </row>
    <row r="253" spans="1:6" ht="13.5" thickBot="1" x14ac:dyDescent="0.25">
      <c r="A253" s="244">
        <v>18</v>
      </c>
      <c r="B253" s="88" t="s">
        <v>34</v>
      </c>
      <c r="C253" s="98" t="e">
        <f>SUM(C245:C252)</f>
        <v>#REF!</v>
      </c>
      <c r="D253" s="91"/>
      <c r="E253" s="138" t="e">
        <f>SUM(E245:E252)</f>
        <v>#REF!</v>
      </c>
    </row>
    <row r="255" spans="1:6" ht="13.5" thickBot="1" x14ac:dyDescent="0.25"/>
    <row r="256" spans="1:6" ht="51.75" customHeight="1" x14ac:dyDescent="0.2">
      <c r="B256" s="749" t="e">
        <f>VLOOKUP(A267,#REF!,6,FALSE)</f>
        <v>#REF!</v>
      </c>
      <c r="C256" s="750"/>
      <c r="D256" s="750"/>
      <c r="E256" s="751"/>
      <c r="F256" s="221"/>
    </row>
    <row r="257" spans="1:11" x14ac:dyDescent="0.2">
      <c r="B257" s="755" t="s">
        <v>30</v>
      </c>
      <c r="C257" s="757" t="s">
        <v>31</v>
      </c>
      <c r="D257" s="759" t="s">
        <v>17</v>
      </c>
      <c r="E257" s="760"/>
      <c r="F257" s="216"/>
    </row>
    <row r="258" spans="1:11" x14ac:dyDescent="0.2">
      <c r="B258" s="756"/>
      <c r="C258" s="758"/>
      <c r="D258" s="249" t="s">
        <v>32</v>
      </c>
      <c r="E258" s="250" t="s">
        <v>33</v>
      </c>
      <c r="F258" s="216"/>
    </row>
    <row r="259" spans="1:11" x14ac:dyDescent="0.2">
      <c r="B259" s="251" t="s">
        <v>54</v>
      </c>
      <c r="C259" s="252" t="e">
        <f>IF(A267=#REF!,VLOOKUP(B259,#REF!,2,FALSE),"REVISAR TABLA")</f>
        <v>#REF!</v>
      </c>
      <c r="D259" s="253">
        <f t="shared" ref="D259:D265" si="27">VLOOKUP(B259,$B$7:$D$13,3,FALSE)</f>
        <v>781.14</v>
      </c>
      <c r="E259" s="254" t="e">
        <f>D259*C259</f>
        <v>#REF!</v>
      </c>
      <c r="F259" s="218"/>
    </row>
    <row r="260" spans="1:11" x14ac:dyDescent="0.2">
      <c r="B260" s="251" t="s">
        <v>26</v>
      </c>
      <c r="C260" s="252" t="e">
        <f>IF(A268=#REF!,VLOOKUP(B260,#REF!,2,FALSE),"REVISAR TABLA")</f>
        <v>#REF!</v>
      </c>
      <c r="D260" s="253">
        <f t="shared" si="27"/>
        <v>567.84</v>
      </c>
      <c r="E260" s="254" t="e">
        <f>D260*C260</f>
        <v>#REF!</v>
      </c>
      <c r="F260" s="218"/>
    </row>
    <row r="261" spans="1:11" x14ac:dyDescent="0.2">
      <c r="B261" s="251" t="s">
        <v>27</v>
      </c>
      <c r="C261" s="252" t="e">
        <f>IF(A269=#REF!,VLOOKUP(B261,#REF!,2,FALSE),"REVISAR TABLA")</f>
        <v>#REF!</v>
      </c>
      <c r="D261" s="253">
        <f t="shared" si="27"/>
        <v>567.84</v>
      </c>
      <c r="E261" s="254" t="e">
        <f>D261*C261</f>
        <v>#REF!</v>
      </c>
      <c r="F261" s="218"/>
    </row>
    <row r="262" spans="1:11" x14ac:dyDescent="0.2">
      <c r="B262" s="251" t="s">
        <v>28</v>
      </c>
      <c r="C262" s="252" t="e">
        <f>IF(A270=#REF!,VLOOKUP(B262,#REF!,2,FALSE),"REVISAR TABLA")</f>
        <v>#REF!</v>
      </c>
      <c r="D262" s="253">
        <f t="shared" si="27"/>
        <v>567.84</v>
      </c>
      <c r="E262" s="254" t="e">
        <f>D262*C262</f>
        <v>#REF!</v>
      </c>
      <c r="F262" s="218"/>
    </row>
    <row r="263" spans="1:11" x14ac:dyDescent="0.2">
      <c r="B263" s="251" t="s">
        <v>58</v>
      </c>
      <c r="C263" s="252" t="e">
        <f>IF(A271=#REF!,VLOOKUP(B263,#REF!,2,FALSE),"REVISAR TABLA")</f>
        <v>#REF!</v>
      </c>
      <c r="D263" s="253">
        <f t="shared" si="27"/>
        <v>567.84</v>
      </c>
      <c r="E263" s="254"/>
      <c r="F263" s="218"/>
    </row>
    <row r="264" spans="1:11" x14ac:dyDescent="0.2">
      <c r="B264" s="251" t="s">
        <v>94</v>
      </c>
      <c r="C264" s="252" t="e">
        <f>IF(A272=#REF!,VLOOKUP(B264,#REF!,2,FALSE),"REVISAR TABLA")</f>
        <v>#REF!</v>
      </c>
      <c r="D264" s="253">
        <f t="shared" si="27"/>
        <v>567.84</v>
      </c>
      <c r="E264" s="254"/>
      <c r="F264" s="218"/>
    </row>
    <row r="265" spans="1:11" x14ac:dyDescent="0.2">
      <c r="B265" s="251" t="s">
        <v>93</v>
      </c>
      <c r="C265" s="252" t="e">
        <f>IF(A273=#REF!,VLOOKUP(B265,#REF!,2,FALSE),"REVISAR TABLA")</f>
        <v>#REF!</v>
      </c>
      <c r="D265" s="253">
        <f t="shared" si="27"/>
        <v>567.84</v>
      </c>
      <c r="E265" s="254" t="e">
        <f>D265*C265</f>
        <v>#REF!</v>
      </c>
      <c r="F265" s="218"/>
      <c r="K265" s="59"/>
    </row>
    <row r="266" spans="1:11" x14ac:dyDescent="0.2">
      <c r="B266" s="251" t="s">
        <v>35</v>
      </c>
      <c r="C266" s="255"/>
      <c r="D266" s="256"/>
      <c r="E266" s="254"/>
      <c r="F266" s="218"/>
    </row>
    <row r="267" spans="1:11" ht="13.5" thickBot="1" x14ac:dyDescent="0.25">
      <c r="A267" s="230">
        <v>19</v>
      </c>
      <c r="B267" s="257" t="s">
        <v>34</v>
      </c>
      <c r="C267" s="258" t="e">
        <f>SUM(C259:C266)</f>
        <v>#REF!</v>
      </c>
      <c r="D267" s="259"/>
      <c r="E267" s="142" t="e">
        <f>SUM(E259:E266)</f>
        <v>#REF!</v>
      </c>
      <c r="F267" s="228"/>
    </row>
  </sheetData>
  <mergeCells count="76">
    <mergeCell ref="B242:E242"/>
    <mergeCell ref="B243:B244"/>
    <mergeCell ref="C243:C244"/>
    <mergeCell ref="D243:E243"/>
    <mergeCell ref="D201:E201"/>
    <mergeCell ref="B214:E214"/>
    <mergeCell ref="B215:B216"/>
    <mergeCell ref="C215:C216"/>
    <mergeCell ref="D215:E215"/>
    <mergeCell ref="B228:E228"/>
    <mergeCell ref="B229:B230"/>
    <mergeCell ref="C229:C230"/>
    <mergeCell ref="D229:E229"/>
    <mergeCell ref="C201:C202"/>
    <mergeCell ref="D173:E173"/>
    <mergeCell ref="B186:E186"/>
    <mergeCell ref="B187:B188"/>
    <mergeCell ref="D187:E187"/>
    <mergeCell ref="B144:E144"/>
    <mergeCell ref="B145:B146"/>
    <mergeCell ref="D145:E145"/>
    <mergeCell ref="B158:E158"/>
    <mergeCell ref="B159:B160"/>
    <mergeCell ref="D159:E159"/>
    <mergeCell ref="B257:B258"/>
    <mergeCell ref="C257:C258"/>
    <mergeCell ref="D257:E257"/>
    <mergeCell ref="B88:E88"/>
    <mergeCell ref="B89:B90"/>
    <mergeCell ref="C89:C90"/>
    <mergeCell ref="D89:E89"/>
    <mergeCell ref="B117:B118"/>
    <mergeCell ref="C117:C118"/>
    <mergeCell ref="D117:E117"/>
    <mergeCell ref="C159:C160"/>
    <mergeCell ref="C173:C174"/>
    <mergeCell ref="B102:E102"/>
    <mergeCell ref="B103:B104"/>
    <mergeCell ref="C103:C104"/>
    <mergeCell ref="D103:E103"/>
    <mergeCell ref="B74:E74"/>
    <mergeCell ref="B75:B76"/>
    <mergeCell ref="C75:C76"/>
    <mergeCell ref="D75:E75"/>
    <mergeCell ref="B256:E256"/>
    <mergeCell ref="B116:E116"/>
    <mergeCell ref="B200:E200"/>
    <mergeCell ref="B201:B202"/>
    <mergeCell ref="C187:C188"/>
    <mergeCell ref="B130:E130"/>
    <mergeCell ref="B131:B132"/>
    <mergeCell ref="C131:C132"/>
    <mergeCell ref="D131:E131"/>
    <mergeCell ref="C145:C146"/>
    <mergeCell ref="B172:E172"/>
    <mergeCell ref="B173:B174"/>
    <mergeCell ref="B61:B62"/>
    <mergeCell ref="C61:C62"/>
    <mergeCell ref="D61:E61"/>
    <mergeCell ref="B33:B34"/>
    <mergeCell ref="C33:C34"/>
    <mergeCell ref="D33:E33"/>
    <mergeCell ref="B46:E46"/>
    <mergeCell ref="B47:B48"/>
    <mergeCell ref="C47:C48"/>
    <mergeCell ref="D47:E47"/>
    <mergeCell ref="B19:B20"/>
    <mergeCell ref="C19:C20"/>
    <mergeCell ref="D19:E19"/>
    <mergeCell ref="B32:E32"/>
    <mergeCell ref="B60:E60"/>
    <mergeCell ref="B4:E4"/>
    <mergeCell ref="B5:B6"/>
    <mergeCell ref="C5:C6"/>
    <mergeCell ref="D5:E5"/>
    <mergeCell ref="B18:E18"/>
  </mergeCells>
  <printOptions horizontalCentered="1"/>
  <pageMargins left="0.70866141732283472" right="0.70866141732283472" top="0.74803149606299213" bottom="0.74803149606299213" header="0.31496062992125984" footer="0.31496062992125984"/>
  <pageSetup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I110"/>
  <sheetViews>
    <sheetView zoomScale="160" zoomScaleNormal="160" zoomScaleSheetLayoutView="175" workbookViewId="0">
      <selection activeCell="E7" sqref="E7"/>
    </sheetView>
  </sheetViews>
  <sheetFormatPr baseColWidth="10" defaultRowHeight="12.75" x14ac:dyDescent="0.2"/>
  <cols>
    <col min="1" max="1" width="2.85546875" style="172" customWidth="1"/>
    <col min="2" max="2" width="17.5703125" style="151" customWidth="1"/>
    <col min="3" max="3" width="12.140625" style="151" customWidth="1"/>
    <col min="4" max="4" width="12.85546875" style="151" customWidth="1"/>
    <col min="5" max="7" width="12.7109375" style="151" customWidth="1"/>
    <col min="8" max="8" width="11.7109375" style="151" customWidth="1"/>
    <col min="9" max="16384" width="11.42578125" style="151"/>
  </cols>
  <sheetData>
    <row r="1" spans="1:8" x14ac:dyDescent="0.2">
      <c r="A1" s="172">
        <f>8178+3398</f>
        <v>11576</v>
      </c>
      <c r="B1" s="661" t="s">
        <v>188</v>
      </c>
      <c r="C1" s="661"/>
      <c r="D1" s="661"/>
      <c r="E1" s="661"/>
      <c r="F1" s="661"/>
      <c r="G1" s="661"/>
      <c r="H1" s="661"/>
    </row>
    <row r="2" spans="1:8" ht="13.5" thickBot="1" x14ac:dyDescent="0.25">
      <c r="B2" s="407"/>
      <c r="C2" s="795"/>
      <c r="D2" s="795"/>
      <c r="E2" s="405"/>
      <c r="F2" s="405"/>
      <c r="G2" s="405"/>
      <c r="H2" s="405"/>
    </row>
    <row r="3" spans="1:8" ht="31.5" customHeight="1" x14ac:dyDescent="0.2">
      <c r="A3" s="354">
        <v>1</v>
      </c>
      <c r="B3" s="798" t="s">
        <v>238</v>
      </c>
      <c r="C3" s="799"/>
      <c r="D3" s="799"/>
      <c r="E3" s="800"/>
      <c r="F3" s="264"/>
    </row>
    <row r="4" spans="1:8" x14ac:dyDescent="0.2">
      <c r="A4" s="354"/>
      <c r="B4" s="767" t="s">
        <v>30</v>
      </c>
      <c r="C4" s="768" t="s">
        <v>31</v>
      </c>
      <c r="D4" s="768" t="s">
        <v>17</v>
      </c>
      <c r="E4" s="769"/>
      <c r="F4" s="405"/>
    </row>
    <row r="5" spans="1:8" x14ac:dyDescent="0.2">
      <c r="A5" s="354"/>
      <c r="B5" s="767"/>
      <c r="C5" s="768"/>
      <c r="D5" s="403" t="s">
        <v>32</v>
      </c>
      <c r="E5" s="404" t="s">
        <v>33</v>
      </c>
      <c r="F5" s="405"/>
    </row>
    <row r="6" spans="1:8" x14ac:dyDescent="0.2">
      <c r="A6" s="354"/>
      <c r="B6" s="182" t="s">
        <v>61</v>
      </c>
      <c r="C6" s="183">
        <v>39</v>
      </c>
      <c r="D6" s="184">
        <v>872</v>
      </c>
      <c r="E6" s="185">
        <f>872*39</f>
        <v>34008</v>
      </c>
      <c r="F6" s="405"/>
    </row>
    <row r="7" spans="1:8" x14ac:dyDescent="0.2">
      <c r="A7" s="354"/>
      <c r="B7" s="182" t="s">
        <v>237</v>
      </c>
      <c r="C7" s="319">
        <f>311/8</f>
        <v>38.875</v>
      </c>
      <c r="D7" s="418">
        <v>709</v>
      </c>
      <c r="E7" s="185">
        <f>+D7*C7</f>
        <v>27562.375</v>
      </c>
      <c r="F7" s="405"/>
    </row>
    <row r="8" spans="1:8" x14ac:dyDescent="0.2">
      <c r="A8" s="354"/>
      <c r="B8" s="182" t="s">
        <v>26</v>
      </c>
      <c r="C8" s="183">
        <f>448/8</f>
        <v>56</v>
      </c>
      <c r="D8" s="418">
        <v>643</v>
      </c>
      <c r="E8" s="185">
        <f>+D8*C8</f>
        <v>36008</v>
      </c>
      <c r="F8" s="405"/>
    </row>
    <row r="9" spans="1:8" x14ac:dyDescent="0.2">
      <c r="A9" s="354"/>
      <c r="B9" s="182" t="s">
        <v>27</v>
      </c>
      <c r="C9" s="319">
        <f>320/8</f>
        <v>40</v>
      </c>
      <c r="D9" s="418">
        <v>643</v>
      </c>
      <c r="E9" s="185">
        <f t="shared" ref="E9:E12" si="0">+D9*C9</f>
        <v>25720</v>
      </c>
      <c r="F9" s="410"/>
    </row>
    <row r="10" spans="1:8" x14ac:dyDescent="0.2">
      <c r="A10" s="354"/>
      <c r="B10" s="182" t="s">
        <v>73</v>
      </c>
      <c r="C10" s="183">
        <f>408/8</f>
        <v>51</v>
      </c>
      <c r="D10" s="418">
        <v>444</v>
      </c>
      <c r="E10" s="185">
        <f t="shared" si="0"/>
        <v>22644</v>
      </c>
      <c r="F10" s="410"/>
    </row>
    <row r="11" spans="1:8" x14ac:dyDescent="0.2">
      <c r="A11" s="354">
        <v>1</v>
      </c>
      <c r="B11" s="182" t="s">
        <v>29</v>
      </c>
      <c r="C11" s="183">
        <f>216/8</f>
        <v>27</v>
      </c>
      <c r="D11" s="418">
        <v>643</v>
      </c>
      <c r="E11" s="185">
        <f t="shared" si="0"/>
        <v>17361</v>
      </c>
      <c r="F11" s="410"/>
    </row>
    <row r="12" spans="1:8" x14ac:dyDescent="0.2">
      <c r="A12" s="354"/>
      <c r="B12" s="182" t="s">
        <v>57</v>
      </c>
      <c r="C12" s="319">
        <f>155/8</f>
        <v>19.375</v>
      </c>
      <c r="D12" s="418">
        <v>472</v>
      </c>
      <c r="E12" s="185">
        <f t="shared" si="0"/>
        <v>9145</v>
      </c>
      <c r="F12" s="405"/>
    </row>
    <row r="13" spans="1:8" x14ac:dyDescent="0.2">
      <c r="A13" s="354"/>
      <c r="B13" s="182" t="s">
        <v>35</v>
      </c>
      <c r="C13" s="183"/>
      <c r="D13" s="265"/>
      <c r="E13" s="185">
        <v>11824</v>
      </c>
      <c r="F13" s="405"/>
    </row>
    <row r="14" spans="1:8" ht="13.5" thickBot="1" x14ac:dyDescent="0.25">
      <c r="A14" s="354"/>
      <c r="B14" s="186" t="s">
        <v>34</v>
      </c>
      <c r="C14" s="320">
        <f>SUM(C6:C13)</f>
        <v>271.25</v>
      </c>
      <c r="D14" s="188"/>
      <c r="E14" s="189">
        <f>SUM(E6:E13)</f>
        <v>184272.375</v>
      </c>
      <c r="F14" s="405"/>
    </row>
    <row r="15" spans="1:8" x14ac:dyDescent="0.2">
      <c r="A15" s="354"/>
      <c r="B15" s="405"/>
      <c r="C15" s="410"/>
      <c r="D15" s="410"/>
      <c r="E15" s="405"/>
      <c r="F15" s="405"/>
      <c r="G15" s="405"/>
      <c r="H15" s="405"/>
    </row>
    <row r="16" spans="1:8" x14ac:dyDescent="0.2">
      <c r="A16" s="354"/>
      <c r="B16" s="405"/>
      <c r="C16" s="410"/>
      <c r="D16" s="410"/>
      <c r="E16" s="405"/>
      <c r="F16" s="405"/>
      <c r="G16" s="405"/>
      <c r="H16" s="405"/>
    </row>
    <row r="17" spans="1:9" x14ac:dyDescent="0.2">
      <c r="A17" s="354"/>
      <c r="B17" s="773" t="s">
        <v>16</v>
      </c>
      <c r="C17" s="774"/>
      <c r="D17" s="774"/>
      <c r="E17" s="796"/>
      <c r="F17" s="765" t="s">
        <v>181</v>
      </c>
      <c r="G17" s="765"/>
      <c r="H17" s="766"/>
      <c r="I17" s="151" t="s">
        <v>177</v>
      </c>
    </row>
    <row r="18" spans="1:9" x14ac:dyDescent="0.2">
      <c r="A18" s="354"/>
      <c r="B18" s="786" t="s">
        <v>12</v>
      </c>
      <c r="C18" s="787"/>
      <c r="D18" s="788" t="s">
        <v>13</v>
      </c>
      <c r="E18" s="788"/>
      <c r="F18" s="347"/>
      <c r="G18" s="341"/>
      <c r="H18" s="343"/>
    </row>
    <row r="19" spans="1:9" x14ac:dyDescent="0.2">
      <c r="A19" s="354"/>
      <c r="B19" s="340">
        <v>1</v>
      </c>
      <c r="C19" s="410">
        <f>+B19/B20</f>
        <v>3.663003663003663E-3</v>
      </c>
      <c r="D19" s="344">
        <v>1</v>
      </c>
      <c r="E19" s="410">
        <f>+D19/D20</f>
        <v>4.3103448275862068E-3</v>
      </c>
      <c r="F19" s="342">
        <f>+E19</f>
        <v>4.3103448275862068E-3</v>
      </c>
      <c r="G19" s="344">
        <v>100</v>
      </c>
      <c r="H19" s="343">
        <f>+F19*G19/G20</f>
        <v>117.67241379310344</v>
      </c>
    </row>
    <row r="20" spans="1:9" x14ac:dyDescent="0.2">
      <c r="A20" s="354"/>
      <c r="B20" s="340">
        <v>273</v>
      </c>
      <c r="C20" s="337"/>
      <c r="D20" s="344">
        <v>232</v>
      </c>
      <c r="E20" s="337"/>
      <c r="F20" s="340"/>
      <c r="G20" s="344">
        <f>+C19</f>
        <v>3.663003663003663E-3</v>
      </c>
      <c r="H20" s="346"/>
    </row>
    <row r="21" spans="1:9" x14ac:dyDescent="0.2">
      <c r="A21" s="354"/>
      <c r="B21" s="345"/>
      <c r="C21" s="410"/>
      <c r="D21" s="345"/>
      <c r="E21" s="410"/>
      <c r="F21" s="341"/>
      <c r="G21" s="345"/>
      <c r="H21" s="345"/>
    </row>
    <row r="22" spans="1:9" x14ac:dyDescent="0.2">
      <c r="A22" s="354"/>
      <c r="B22" s="345"/>
      <c r="C22" s="410"/>
      <c r="D22" s="410"/>
      <c r="E22" s="345"/>
      <c r="F22" s="345"/>
      <c r="G22" s="345"/>
      <c r="H22" s="345"/>
    </row>
    <row r="23" spans="1:9" x14ac:dyDescent="0.2">
      <c r="A23" s="354"/>
      <c r="B23" s="761" t="s">
        <v>17</v>
      </c>
      <c r="C23" s="762"/>
      <c r="D23" s="762"/>
      <c r="E23" s="763"/>
      <c r="F23" s="765" t="s">
        <v>182</v>
      </c>
      <c r="G23" s="765"/>
      <c r="H23" s="766"/>
      <c r="I23" s="151" t="s">
        <v>177</v>
      </c>
    </row>
    <row r="24" spans="1:9" x14ac:dyDescent="0.2">
      <c r="A24" s="354"/>
      <c r="B24" s="775" t="s">
        <v>12</v>
      </c>
      <c r="C24" s="776"/>
      <c r="D24" s="777" t="s">
        <v>13</v>
      </c>
      <c r="E24" s="778"/>
      <c r="F24" s="347"/>
      <c r="G24" s="341"/>
      <c r="H24" s="343"/>
    </row>
    <row r="25" spans="1:9" x14ac:dyDescent="0.2">
      <c r="A25" s="354"/>
      <c r="B25" s="340">
        <v>1</v>
      </c>
      <c r="C25" s="326">
        <f>+B25/B26</f>
        <v>4.8131765521291086E-6</v>
      </c>
      <c r="D25" s="344">
        <v>1</v>
      </c>
      <c r="E25" s="410">
        <f>+D25/D26</f>
        <v>6.6549539477186818E-6</v>
      </c>
      <c r="F25" s="360">
        <f>+E25/C25</f>
        <v>1.3826531970398765</v>
      </c>
      <c r="G25" s="341">
        <v>100</v>
      </c>
      <c r="H25" s="385">
        <f>+F25*G25</f>
        <v>138.26531970398764</v>
      </c>
    </row>
    <row r="26" spans="1:9" x14ac:dyDescent="0.2">
      <c r="A26" s="354"/>
      <c r="B26" s="386">
        <v>207763</v>
      </c>
      <c r="C26" s="337"/>
      <c r="D26" s="387">
        <v>150264</v>
      </c>
      <c r="E26" s="337"/>
      <c r="F26" s="338"/>
      <c r="G26" s="344"/>
      <c r="H26" s="346"/>
    </row>
    <row r="27" spans="1:9" x14ac:dyDescent="0.2">
      <c r="A27" s="354"/>
      <c r="B27" s="352"/>
      <c r="C27" s="410"/>
      <c r="D27" s="352"/>
      <c r="E27" s="410"/>
      <c r="F27" s="410"/>
      <c r="G27" s="345"/>
      <c r="H27" s="345"/>
    </row>
    <row r="28" spans="1:9" ht="13.5" thickBot="1" x14ac:dyDescent="0.25">
      <c r="A28" s="354"/>
      <c r="B28" s="405"/>
      <c r="C28" s="410"/>
      <c r="D28" s="410"/>
      <c r="E28" s="405"/>
      <c r="F28" s="405"/>
      <c r="G28" s="410"/>
      <c r="H28" s="410"/>
    </row>
    <row r="29" spans="1:9" ht="54" customHeight="1" x14ac:dyDescent="0.2">
      <c r="A29" s="354"/>
      <c r="B29" s="801" t="s">
        <v>190</v>
      </c>
      <c r="C29" s="802"/>
      <c r="D29" s="802"/>
      <c r="E29" s="803"/>
      <c r="F29" s="406"/>
    </row>
    <row r="30" spans="1:9" x14ac:dyDescent="0.2">
      <c r="A30" s="354">
        <v>2</v>
      </c>
      <c r="B30" s="767" t="s">
        <v>30</v>
      </c>
      <c r="C30" s="768" t="s">
        <v>31</v>
      </c>
      <c r="D30" s="768" t="s">
        <v>17</v>
      </c>
      <c r="E30" s="769"/>
      <c r="F30" s="196"/>
    </row>
    <row r="31" spans="1:9" x14ac:dyDescent="0.2">
      <c r="A31" s="354"/>
      <c r="B31" s="767"/>
      <c r="C31" s="768"/>
      <c r="D31" s="403" t="s">
        <v>32</v>
      </c>
      <c r="E31" s="404" t="s">
        <v>33</v>
      </c>
      <c r="F31" s="196"/>
    </row>
    <row r="32" spans="1:9" x14ac:dyDescent="0.2">
      <c r="A32" s="354"/>
      <c r="B32" s="182" t="s">
        <v>61</v>
      </c>
      <c r="C32" s="183">
        <f>80/8</f>
        <v>10</v>
      </c>
      <c r="D32" s="184">
        <v>896</v>
      </c>
      <c r="E32" s="185">
        <f>896*10</f>
        <v>8960</v>
      </c>
      <c r="F32" s="196"/>
    </row>
    <row r="33" spans="1:9" x14ac:dyDescent="0.2">
      <c r="A33" s="354"/>
      <c r="B33" s="182" t="s">
        <v>237</v>
      </c>
      <c r="C33" s="319">
        <f>40/8</f>
        <v>5</v>
      </c>
      <c r="D33" s="418">
        <v>709</v>
      </c>
      <c r="E33" s="185">
        <f>709*5</f>
        <v>3545</v>
      </c>
      <c r="F33" s="196"/>
    </row>
    <row r="34" spans="1:9" x14ac:dyDescent="0.2">
      <c r="A34" s="354"/>
      <c r="B34" s="182" t="s">
        <v>73</v>
      </c>
      <c r="C34" s="319">
        <f>308/8</f>
        <v>38.5</v>
      </c>
      <c r="D34" s="184">
        <v>444</v>
      </c>
      <c r="E34" s="185">
        <f>444*39</f>
        <v>17316</v>
      </c>
      <c r="F34" s="196"/>
    </row>
    <row r="35" spans="1:9" ht="13.5" thickBot="1" x14ac:dyDescent="0.25">
      <c r="A35" s="354"/>
      <c r="B35" s="194" t="s">
        <v>34</v>
      </c>
      <c r="C35" s="320">
        <f>SUM(C32:C34)</f>
        <v>53.5</v>
      </c>
      <c r="D35" s="187"/>
      <c r="E35" s="189">
        <f>SUM(E32:E34)</f>
        <v>29821</v>
      </c>
      <c r="F35" s="196"/>
    </row>
    <row r="36" spans="1:9" x14ac:dyDescent="0.2">
      <c r="A36" s="354"/>
      <c r="B36" s="264"/>
      <c r="C36" s="364"/>
      <c r="D36" s="264"/>
      <c r="E36" s="366"/>
      <c r="F36" s="196"/>
    </row>
    <row r="37" spans="1:9" x14ac:dyDescent="0.2">
      <c r="A37" s="354"/>
      <c r="B37" s="406"/>
      <c r="C37" s="772"/>
      <c r="D37" s="772"/>
      <c r="E37" s="405"/>
      <c r="F37" s="405"/>
      <c r="G37" s="405"/>
      <c r="H37" s="405"/>
    </row>
    <row r="38" spans="1:9" x14ac:dyDescent="0.2">
      <c r="A38" s="354"/>
      <c r="B38" s="773" t="s">
        <v>16</v>
      </c>
      <c r="C38" s="774"/>
      <c r="D38" s="774"/>
      <c r="E38" s="774"/>
      <c r="F38" s="764" t="s">
        <v>181</v>
      </c>
      <c r="G38" s="765"/>
      <c r="H38" s="766"/>
      <c r="I38" s="151" t="s">
        <v>177</v>
      </c>
    </row>
    <row r="39" spans="1:9" x14ac:dyDescent="0.2">
      <c r="A39" s="354"/>
      <c r="B39" s="775" t="s">
        <v>12</v>
      </c>
      <c r="C39" s="776"/>
      <c r="D39" s="777" t="s">
        <v>13</v>
      </c>
      <c r="E39" s="778"/>
      <c r="F39" s="342"/>
      <c r="G39" s="341" t="s">
        <v>14</v>
      </c>
      <c r="H39" s="343"/>
    </row>
    <row r="40" spans="1:9" x14ac:dyDescent="0.2">
      <c r="A40" s="354"/>
      <c r="B40" s="340">
        <v>1</v>
      </c>
      <c r="C40" s="410">
        <f>+B40/B41</f>
        <v>1.6666666666666666E-2</v>
      </c>
      <c r="D40" s="344">
        <v>1</v>
      </c>
      <c r="E40" s="410">
        <f>+D40/D41</f>
        <v>1.8518518518518517E-2</v>
      </c>
      <c r="F40" s="342">
        <f>+E40</f>
        <v>1.8518518518518517E-2</v>
      </c>
      <c r="G40" s="344">
        <v>100</v>
      </c>
      <c r="H40" s="343">
        <f>+F40*G40/G41</f>
        <v>111.1111111111111</v>
      </c>
    </row>
    <row r="41" spans="1:9" x14ac:dyDescent="0.2">
      <c r="A41" s="354"/>
      <c r="B41" s="340">
        <v>60</v>
      </c>
      <c r="C41" s="337"/>
      <c r="D41" s="344">
        <v>54</v>
      </c>
      <c r="E41" s="337"/>
      <c r="F41" s="340"/>
      <c r="G41" s="344">
        <f>+C40</f>
        <v>1.6666666666666666E-2</v>
      </c>
      <c r="H41" s="346"/>
    </row>
    <row r="42" spans="1:9" x14ac:dyDescent="0.2">
      <c r="A42" s="354"/>
      <c r="B42" s="345"/>
      <c r="C42" s="410"/>
      <c r="D42" s="345"/>
      <c r="E42" s="410"/>
      <c r="F42" s="341"/>
      <c r="G42" s="341"/>
      <c r="H42" s="341"/>
    </row>
    <row r="43" spans="1:9" x14ac:dyDescent="0.2">
      <c r="A43" s="354"/>
      <c r="B43" s="345"/>
      <c r="C43" s="410"/>
      <c r="D43" s="410"/>
      <c r="E43" s="345"/>
      <c r="F43" s="345"/>
      <c r="G43" s="345"/>
      <c r="H43" s="345"/>
    </row>
    <row r="44" spans="1:9" x14ac:dyDescent="0.2">
      <c r="A44" s="354"/>
      <c r="B44" s="761" t="s">
        <v>17</v>
      </c>
      <c r="C44" s="762"/>
      <c r="D44" s="762"/>
      <c r="E44" s="763"/>
      <c r="F44" s="764" t="s">
        <v>182</v>
      </c>
      <c r="G44" s="765"/>
      <c r="H44" s="766"/>
      <c r="I44" s="151" t="s">
        <v>177</v>
      </c>
    </row>
    <row r="45" spans="1:9" x14ac:dyDescent="0.2">
      <c r="A45" s="354"/>
      <c r="B45" s="408" t="s">
        <v>12</v>
      </c>
      <c r="C45" s="410"/>
      <c r="D45" s="410" t="s">
        <v>13</v>
      </c>
      <c r="E45" s="341"/>
      <c r="F45" s="341"/>
      <c r="G45" s="341" t="s">
        <v>14</v>
      </c>
      <c r="H45" s="343"/>
    </row>
    <row r="46" spans="1:9" x14ac:dyDescent="0.2">
      <c r="A46" s="354"/>
      <c r="B46" s="340">
        <v>1</v>
      </c>
      <c r="C46" s="326">
        <f>+B46/B47</f>
        <v>3.2341526520051748E-5</v>
      </c>
      <c r="D46" s="344">
        <v>1</v>
      </c>
      <c r="E46" s="330">
        <f>+D46/D47</f>
        <v>3.3533416049092922E-5</v>
      </c>
      <c r="F46" s="328">
        <f>+E46/C46</f>
        <v>1.0368532242379531</v>
      </c>
      <c r="G46" s="341">
        <v>100</v>
      </c>
      <c r="H46" s="385">
        <f>+F46*G46</f>
        <v>103.68532242379531</v>
      </c>
    </row>
    <row r="47" spans="1:9" x14ac:dyDescent="0.2">
      <c r="A47" s="354"/>
      <c r="B47" s="386">
        <v>30920</v>
      </c>
      <c r="C47" s="337"/>
      <c r="D47" s="387">
        <v>29821</v>
      </c>
      <c r="E47" s="337"/>
      <c r="F47" s="339"/>
      <c r="G47" s="344"/>
      <c r="H47" s="346"/>
    </row>
    <row r="48" spans="1:9" x14ac:dyDescent="0.2">
      <c r="A48" s="354"/>
      <c r="B48" s="352"/>
      <c r="C48" s="410"/>
      <c r="D48" s="352"/>
      <c r="E48" s="410"/>
      <c r="F48" s="329"/>
      <c r="G48" s="345"/>
      <c r="H48" s="345"/>
    </row>
    <row r="49" spans="1:9" x14ac:dyDescent="0.2">
      <c r="A49" s="354"/>
      <c r="B49" s="352"/>
      <c r="C49" s="410"/>
      <c r="D49" s="352"/>
      <c r="E49" s="410"/>
      <c r="F49" s="329"/>
      <c r="G49" s="345"/>
      <c r="H49" s="345"/>
    </row>
    <row r="50" spans="1:9" ht="36.75" customHeight="1" x14ac:dyDescent="0.2">
      <c r="A50" s="354"/>
      <c r="B50" s="741" t="s">
        <v>218</v>
      </c>
      <c r="C50" s="741"/>
      <c r="D50" s="741"/>
      <c r="E50" s="741"/>
      <c r="F50" s="329"/>
      <c r="G50" s="345"/>
      <c r="H50" s="345"/>
    </row>
    <row r="51" spans="1:9" x14ac:dyDescent="0.2">
      <c r="A51" s="354"/>
      <c r="B51" s="742" t="s">
        <v>30</v>
      </c>
      <c r="C51" s="742" t="s">
        <v>31</v>
      </c>
      <c r="D51" s="742" t="s">
        <v>17</v>
      </c>
      <c r="E51" s="742"/>
      <c r="F51" s="329"/>
      <c r="G51" s="345"/>
      <c r="H51" s="345"/>
    </row>
    <row r="52" spans="1:9" x14ac:dyDescent="0.2">
      <c r="A52" s="354"/>
      <c r="B52" s="742"/>
      <c r="C52" s="742"/>
      <c r="D52" s="454" t="s">
        <v>32</v>
      </c>
      <c r="E52" s="454" t="s">
        <v>33</v>
      </c>
      <c r="F52" s="329"/>
      <c r="G52" s="345"/>
      <c r="H52" s="345"/>
    </row>
    <row r="53" spans="1:9" x14ac:dyDescent="0.2">
      <c r="A53" s="354"/>
      <c r="B53" s="179" t="s">
        <v>61</v>
      </c>
      <c r="C53" s="180">
        <v>10</v>
      </c>
      <c r="D53" s="181">
        <v>872</v>
      </c>
      <c r="E53" s="155">
        <f>872*10</f>
        <v>8720</v>
      </c>
      <c r="F53" s="329"/>
      <c r="G53" s="345"/>
      <c r="H53" s="345"/>
    </row>
    <row r="54" spans="1:9" x14ac:dyDescent="0.2">
      <c r="A54" s="354"/>
      <c r="B54" s="179" t="s">
        <v>237</v>
      </c>
      <c r="C54" s="423">
        <f>193/8</f>
        <v>24.125</v>
      </c>
      <c r="D54" s="418">
        <v>672</v>
      </c>
      <c r="E54" s="155">
        <f>672*24</f>
        <v>16128</v>
      </c>
      <c r="F54" s="329"/>
      <c r="G54" s="345"/>
      <c r="H54" s="345"/>
    </row>
    <row r="55" spans="1:9" x14ac:dyDescent="0.2">
      <c r="A55" s="354"/>
      <c r="B55" s="179" t="s">
        <v>26</v>
      </c>
      <c r="C55" s="180">
        <f>184/8</f>
        <v>23</v>
      </c>
      <c r="D55" s="418">
        <v>672</v>
      </c>
      <c r="E55" s="155">
        <f>672*6</f>
        <v>4032</v>
      </c>
      <c r="F55" s="329"/>
      <c r="G55" s="345"/>
      <c r="H55" s="345"/>
    </row>
    <row r="56" spans="1:9" x14ac:dyDescent="0.2">
      <c r="A56" s="354"/>
      <c r="B56" s="179" t="s">
        <v>27</v>
      </c>
      <c r="C56" s="180">
        <f>160/8</f>
        <v>20</v>
      </c>
      <c r="D56" s="418">
        <v>628</v>
      </c>
      <c r="E56" s="155">
        <f>628*17</f>
        <v>10676</v>
      </c>
      <c r="F56" s="329"/>
      <c r="G56" s="345"/>
      <c r="H56" s="345"/>
    </row>
    <row r="57" spans="1:9" x14ac:dyDescent="0.2">
      <c r="A57" s="354"/>
      <c r="B57" s="179" t="s">
        <v>73</v>
      </c>
      <c r="C57" s="423">
        <f>96/8</f>
        <v>12</v>
      </c>
      <c r="D57" s="418">
        <v>412</v>
      </c>
      <c r="E57" s="155">
        <f>412*5</f>
        <v>2060</v>
      </c>
      <c r="F57" s="329"/>
      <c r="G57" s="345"/>
      <c r="H57" s="345"/>
    </row>
    <row r="58" spans="1:9" x14ac:dyDescent="0.2">
      <c r="A58" s="354"/>
      <c r="B58" s="179" t="s">
        <v>29</v>
      </c>
      <c r="C58" s="423">
        <f>88/8</f>
        <v>11</v>
      </c>
      <c r="D58" s="418">
        <v>672</v>
      </c>
      <c r="E58" s="155">
        <f>672*10</f>
        <v>6720</v>
      </c>
      <c r="F58" s="329"/>
      <c r="G58" s="345"/>
      <c r="H58" s="345"/>
    </row>
    <row r="59" spans="1:9" x14ac:dyDescent="0.2">
      <c r="A59" s="354"/>
      <c r="B59" s="179" t="s">
        <v>57</v>
      </c>
      <c r="C59" s="180">
        <v>0</v>
      </c>
      <c r="D59" s="418"/>
      <c r="E59" s="155">
        <v>0</v>
      </c>
      <c r="F59" s="329"/>
      <c r="G59" s="345"/>
      <c r="H59" s="345"/>
    </row>
    <row r="60" spans="1:9" x14ac:dyDescent="0.2">
      <c r="A60" s="354"/>
      <c r="B60" s="361" t="s">
        <v>34</v>
      </c>
      <c r="C60" s="424">
        <f>SUM(C53:C59)</f>
        <v>100.125</v>
      </c>
      <c r="D60" s="362"/>
      <c r="E60" s="363">
        <f>SUM(E53:E59)</f>
        <v>48336</v>
      </c>
      <c r="F60" s="329"/>
      <c r="G60" s="345"/>
      <c r="H60" s="345"/>
    </row>
    <row r="61" spans="1:9" x14ac:dyDescent="0.2">
      <c r="A61" s="354"/>
      <c r="B61" s="352"/>
      <c r="C61" s="410"/>
      <c r="D61" s="352"/>
      <c r="E61" s="410"/>
      <c r="F61" s="329"/>
      <c r="G61" s="345"/>
      <c r="H61" s="345"/>
    </row>
    <row r="62" spans="1:9" x14ac:dyDescent="0.2">
      <c r="A62" s="354"/>
      <c r="B62" s="406"/>
      <c r="C62" s="406"/>
      <c r="D62" s="406"/>
      <c r="E62" s="405"/>
      <c r="F62" s="405"/>
      <c r="G62" s="405"/>
      <c r="H62" s="405"/>
    </row>
    <row r="63" spans="1:9" x14ac:dyDescent="0.2">
      <c r="A63" s="354"/>
      <c r="B63" s="797" t="s">
        <v>16</v>
      </c>
      <c r="C63" s="797"/>
      <c r="D63" s="797"/>
      <c r="E63" s="797"/>
      <c r="F63" s="764" t="s">
        <v>181</v>
      </c>
      <c r="G63" s="765"/>
      <c r="H63" s="766"/>
      <c r="I63" s="151" t="s">
        <v>177</v>
      </c>
    </row>
    <row r="64" spans="1:9" x14ac:dyDescent="0.2">
      <c r="A64" s="354"/>
      <c r="B64" s="786" t="s">
        <v>12</v>
      </c>
      <c r="C64" s="787"/>
      <c r="D64" s="788" t="s">
        <v>13</v>
      </c>
      <c r="E64" s="789"/>
      <c r="F64" s="347"/>
      <c r="G64" s="409" t="s">
        <v>14</v>
      </c>
      <c r="H64" s="341"/>
    </row>
    <row r="65" spans="1:9" x14ac:dyDescent="0.2">
      <c r="A65" s="354"/>
      <c r="B65" s="340">
        <v>1</v>
      </c>
      <c r="C65" s="410">
        <f>+B65/B66</f>
        <v>1.6666666666666666E-2</v>
      </c>
      <c r="D65" s="344">
        <v>1</v>
      </c>
      <c r="E65" s="419">
        <f>+D65/D66</f>
        <v>0.01</v>
      </c>
      <c r="F65" s="342">
        <f>+E65</f>
        <v>0.01</v>
      </c>
      <c r="G65" s="344">
        <v>100</v>
      </c>
      <c r="H65" s="341">
        <f>+F65*G65/0.05</f>
        <v>20</v>
      </c>
    </row>
    <row r="66" spans="1:9" x14ac:dyDescent="0.2">
      <c r="A66" s="354"/>
      <c r="B66" s="340">
        <v>60</v>
      </c>
      <c r="C66" s="337"/>
      <c r="D66" s="344">
        <v>100</v>
      </c>
      <c r="E66" s="420"/>
      <c r="F66" s="342"/>
      <c r="G66" s="341">
        <f>+C65</f>
        <v>1.6666666666666666E-2</v>
      </c>
      <c r="H66" s="341"/>
    </row>
    <row r="67" spans="1:9" x14ac:dyDescent="0.2">
      <c r="A67" s="354"/>
      <c r="B67" s="341"/>
      <c r="C67" s="410"/>
      <c r="D67" s="341"/>
      <c r="E67" s="410"/>
      <c r="F67" s="341"/>
      <c r="G67" s="341"/>
      <c r="H67" s="341"/>
    </row>
    <row r="68" spans="1:9" x14ac:dyDescent="0.2">
      <c r="A68" s="354"/>
      <c r="B68" s="341"/>
      <c r="C68" s="410"/>
      <c r="D68" s="410"/>
      <c r="E68" s="341"/>
      <c r="F68" s="341"/>
      <c r="G68" s="341"/>
      <c r="H68" s="341"/>
    </row>
    <row r="69" spans="1:9" x14ac:dyDescent="0.2">
      <c r="A69" s="354"/>
      <c r="B69" s="761" t="s">
        <v>17</v>
      </c>
      <c r="C69" s="762"/>
      <c r="D69" s="762"/>
      <c r="E69" s="762"/>
      <c r="F69" s="764" t="s">
        <v>182</v>
      </c>
      <c r="G69" s="765"/>
      <c r="H69" s="766"/>
      <c r="I69" s="151" t="s">
        <v>177</v>
      </c>
    </row>
    <row r="70" spans="1:9" x14ac:dyDescent="0.2">
      <c r="A70" s="354"/>
      <c r="B70" s="342" t="s">
        <v>12</v>
      </c>
      <c r="C70" s="410"/>
      <c r="D70" s="410" t="s">
        <v>13</v>
      </c>
      <c r="E70" s="341"/>
      <c r="F70" s="342"/>
      <c r="G70" s="409" t="s">
        <v>14</v>
      </c>
      <c r="H70" s="343"/>
    </row>
    <row r="71" spans="1:9" x14ac:dyDescent="0.2">
      <c r="A71" s="354"/>
      <c r="B71" s="340">
        <v>1</v>
      </c>
      <c r="C71" s="326">
        <f>+B71/B72</f>
        <v>2.6075619295958279E-5</v>
      </c>
      <c r="D71" s="344">
        <v>1</v>
      </c>
      <c r="E71" s="410">
        <f>1/10.48</f>
        <v>9.5419847328244267E-2</v>
      </c>
      <c r="F71" s="358">
        <f>+E71/C71</f>
        <v>3659.3511450381675</v>
      </c>
      <c r="G71" s="341">
        <v>100</v>
      </c>
      <c r="H71" s="348">
        <f>+F71*G71</f>
        <v>365935.11450381676</v>
      </c>
    </row>
    <row r="72" spans="1:9" x14ac:dyDescent="0.2">
      <c r="A72" s="354"/>
      <c r="B72" s="349">
        <v>38350</v>
      </c>
      <c r="C72" s="337"/>
      <c r="D72" s="350">
        <f>+E60</f>
        <v>48336</v>
      </c>
      <c r="E72" s="337"/>
      <c r="F72" s="359"/>
      <c r="G72" s="350"/>
      <c r="H72" s="346"/>
    </row>
    <row r="73" spans="1:9" x14ac:dyDescent="0.2">
      <c r="A73" s="354"/>
      <c r="B73" s="373"/>
      <c r="C73" s="410"/>
      <c r="D73" s="373"/>
      <c r="E73" s="410"/>
      <c r="F73" s="329"/>
      <c r="G73" s="373"/>
      <c r="H73" s="341"/>
    </row>
    <row r="74" spans="1:9" ht="11.25" customHeight="1" x14ac:dyDescent="0.2">
      <c r="B74" s="325"/>
      <c r="C74" s="410"/>
      <c r="D74" s="325"/>
      <c r="E74" s="410"/>
      <c r="F74" s="329"/>
      <c r="G74" s="405"/>
      <c r="H74" s="405"/>
    </row>
    <row r="75" spans="1:9" ht="0.75" hidden="1" customHeight="1" x14ac:dyDescent="0.2">
      <c r="B75" s="405"/>
      <c r="C75" s="323" t="s">
        <v>174</v>
      </c>
      <c r="D75" s="405"/>
      <c r="E75" s="405"/>
      <c r="F75" s="405"/>
      <c r="G75" s="405"/>
      <c r="H75" s="405"/>
    </row>
    <row r="76" spans="1:9" ht="2.25" hidden="1" customHeight="1" x14ac:dyDescent="0.2">
      <c r="B76" s="790" t="s">
        <v>175</v>
      </c>
      <c r="C76" s="791"/>
      <c r="D76" s="791"/>
      <c r="E76" s="792"/>
      <c r="F76" s="405"/>
      <c r="G76" s="405"/>
      <c r="H76" s="405"/>
    </row>
    <row r="77" spans="1:9" hidden="1" x14ac:dyDescent="0.2">
      <c r="B77" s="767" t="s">
        <v>30</v>
      </c>
      <c r="C77" s="768" t="s">
        <v>31</v>
      </c>
      <c r="D77" s="768" t="s">
        <v>17</v>
      </c>
      <c r="E77" s="769"/>
      <c r="F77" s="405"/>
      <c r="G77" s="405"/>
      <c r="H77" s="405"/>
    </row>
    <row r="78" spans="1:9" hidden="1" x14ac:dyDescent="0.2">
      <c r="B78" s="767"/>
      <c r="C78" s="768"/>
      <c r="D78" s="403" t="s">
        <v>32</v>
      </c>
      <c r="E78" s="404" t="s">
        <v>33</v>
      </c>
      <c r="F78" s="405"/>
      <c r="G78" s="405"/>
      <c r="H78" s="405"/>
    </row>
    <row r="79" spans="1:9" hidden="1" x14ac:dyDescent="0.2">
      <c r="B79" s="182" t="s">
        <v>61</v>
      </c>
      <c r="C79" s="183">
        <v>0</v>
      </c>
      <c r="D79" s="184">
        <v>0</v>
      </c>
      <c r="E79" s="185">
        <f>+D79*C79</f>
        <v>0</v>
      </c>
      <c r="F79" s="405"/>
      <c r="G79" s="405"/>
      <c r="H79" s="405"/>
    </row>
    <row r="80" spans="1:9" hidden="1" x14ac:dyDescent="0.2">
      <c r="B80" s="182" t="s">
        <v>73</v>
      </c>
      <c r="C80" s="183">
        <f>144/8</f>
        <v>18</v>
      </c>
      <c r="D80" s="184">
        <v>385</v>
      </c>
      <c r="E80" s="185">
        <f>+D80*C80</f>
        <v>6930</v>
      </c>
      <c r="F80" s="405"/>
      <c r="G80" s="405"/>
      <c r="H80" s="405"/>
    </row>
    <row r="81" spans="2:8" ht="13.5" hidden="1" thickBot="1" x14ac:dyDescent="0.25">
      <c r="B81" s="194" t="s">
        <v>34</v>
      </c>
      <c r="C81" s="187">
        <f>SUM(C79:C80)</f>
        <v>18</v>
      </c>
      <c r="D81" s="195"/>
      <c r="E81" s="189">
        <f>SUM(E79:E80)</f>
        <v>6930</v>
      </c>
      <c r="F81" s="405"/>
      <c r="G81" s="405"/>
      <c r="H81" s="405"/>
    </row>
    <row r="82" spans="2:8" hidden="1" x14ac:dyDescent="0.2">
      <c r="B82" s="405"/>
      <c r="C82" s="405"/>
      <c r="D82" s="405"/>
      <c r="E82" s="405"/>
      <c r="F82" s="405"/>
      <c r="G82" s="405"/>
      <c r="H82" s="405"/>
    </row>
    <row r="83" spans="2:8" hidden="1" x14ac:dyDescent="0.2">
      <c r="B83" s="793" t="s">
        <v>16</v>
      </c>
      <c r="C83" s="793"/>
      <c r="D83" s="793"/>
      <c r="E83" s="794"/>
      <c r="F83" s="405"/>
      <c r="G83" s="405" t="s">
        <v>178</v>
      </c>
      <c r="H83" s="405"/>
    </row>
    <row r="84" spans="2:8" hidden="1" x14ac:dyDescent="0.2">
      <c r="B84" s="405" t="s">
        <v>12</v>
      </c>
      <c r="C84" s="410"/>
      <c r="D84" s="410" t="s">
        <v>13</v>
      </c>
      <c r="E84" s="405"/>
      <c r="F84" s="405"/>
      <c r="G84" s="405" t="s">
        <v>14</v>
      </c>
      <c r="H84" s="405"/>
    </row>
    <row r="85" spans="2:8" hidden="1" x14ac:dyDescent="0.2">
      <c r="B85" s="324">
        <v>1</v>
      </c>
      <c r="C85" s="410">
        <f>+B85/B86</f>
        <v>0.05</v>
      </c>
      <c r="D85" s="324">
        <v>1</v>
      </c>
      <c r="E85" s="410">
        <f>+D85/D86</f>
        <v>5.5555555555555552E-2</v>
      </c>
      <c r="F85" s="324">
        <f>+E85</f>
        <v>5.5555555555555552E-2</v>
      </c>
      <c r="G85" s="405">
        <v>100</v>
      </c>
      <c r="H85" s="405">
        <f>+F85*G85/G86</f>
        <v>111.1111111111111</v>
      </c>
    </row>
    <row r="86" spans="2:8" hidden="1" x14ac:dyDescent="0.2">
      <c r="B86" s="405">
        <v>20</v>
      </c>
      <c r="C86" s="410"/>
      <c r="D86" s="405">
        <v>18</v>
      </c>
      <c r="E86" s="410"/>
      <c r="F86" s="405"/>
      <c r="G86" s="405">
        <f>+C85</f>
        <v>0.05</v>
      </c>
      <c r="H86" s="405"/>
    </row>
    <row r="87" spans="2:8" hidden="1" x14ac:dyDescent="0.2">
      <c r="B87" s="405"/>
      <c r="C87" s="410"/>
      <c r="D87" s="410"/>
      <c r="E87" s="405"/>
      <c r="F87" s="405"/>
      <c r="G87" s="405"/>
      <c r="H87" s="405"/>
    </row>
    <row r="88" spans="2:8" hidden="1" x14ac:dyDescent="0.2">
      <c r="B88" s="405"/>
      <c r="C88" s="768" t="s">
        <v>17</v>
      </c>
      <c r="D88" s="769"/>
      <c r="E88" s="405"/>
      <c r="F88" s="405"/>
      <c r="G88" s="405"/>
      <c r="H88" s="405"/>
    </row>
    <row r="89" spans="2:8" ht="3" hidden="1" customHeight="1" x14ac:dyDescent="0.2">
      <c r="B89" s="405" t="s">
        <v>12</v>
      </c>
      <c r="C89" s="410"/>
      <c r="D89" s="410" t="s">
        <v>13</v>
      </c>
      <c r="E89" s="405"/>
      <c r="F89" s="405"/>
      <c r="G89" s="405"/>
      <c r="H89" s="405"/>
    </row>
    <row r="90" spans="2:8" hidden="1" x14ac:dyDescent="0.2">
      <c r="B90" s="324">
        <v>1</v>
      </c>
      <c r="C90" s="326">
        <f>+B90/B91</f>
        <v>7.7603600807077451E-5</v>
      </c>
      <c r="D90" s="324">
        <v>1</v>
      </c>
      <c r="E90" s="410">
        <f>+D90/D91</f>
        <v>1.443001443001443E-4</v>
      </c>
      <c r="F90" s="328">
        <f>+E90/C90</f>
        <v>1.8594516594516595</v>
      </c>
      <c r="G90" s="405">
        <v>100</v>
      </c>
      <c r="H90" s="327">
        <f>+F90*G90</f>
        <v>185.94516594516594</v>
      </c>
    </row>
    <row r="91" spans="2:8" hidden="1" x14ac:dyDescent="0.2">
      <c r="B91" s="325">
        <v>12886</v>
      </c>
      <c r="C91" s="410"/>
      <c r="D91" s="325">
        <v>6930</v>
      </c>
      <c r="E91" s="410"/>
      <c r="F91" s="329"/>
      <c r="G91" s="405"/>
      <c r="H91" s="405"/>
    </row>
    <row r="92" spans="2:8" hidden="1" x14ac:dyDescent="0.2">
      <c r="B92" s="405"/>
      <c r="C92" s="405"/>
      <c r="D92" s="405"/>
      <c r="E92" s="405"/>
      <c r="F92" s="405"/>
      <c r="G92" s="405"/>
      <c r="H92" s="405"/>
    </row>
    <row r="93" spans="2:8" hidden="1" x14ac:dyDescent="0.2">
      <c r="B93" s="405"/>
      <c r="C93" s="405"/>
      <c r="D93" s="405"/>
      <c r="E93" s="405"/>
      <c r="F93" s="405"/>
      <c r="G93" s="405"/>
      <c r="H93" s="405"/>
    </row>
    <row r="94" spans="2:8" ht="51.75" customHeight="1" x14ac:dyDescent="0.2"/>
    <row r="95" spans="2:8" hidden="1" x14ac:dyDescent="0.2">
      <c r="B95" s="770" t="s">
        <v>16</v>
      </c>
      <c r="C95" s="770"/>
      <c r="D95" s="770"/>
      <c r="E95" s="771"/>
      <c r="F95" s="345"/>
      <c r="G95" s="345" t="s">
        <v>178</v>
      </c>
      <c r="H95" s="345"/>
    </row>
    <row r="96" spans="2:8" hidden="1" x14ac:dyDescent="0.2">
      <c r="B96" s="345" t="s">
        <v>12</v>
      </c>
      <c r="C96" s="410"/>
      <c r="D96" s="410" t="s">
        <v>13</v>
      </c>
      <c r="E96" s="345"/>
      <c r="F96" s="345"/>
      <c r="G96" s="345" t="s">
        <v>14</v>
      </c>
      <c r="H96" s="345"/>
    </row>
    <row r="97" spans="1:8" hidden="1" x14ac:dyDescent="0.2">
      <c r="B97" s="344">
        <v>1</v>
      </c>
      <c r="C97" s="410">
        <f>+B97/B98</f>
        <v>0.05</v>
      </c>
      <c r="D97" s="344">
        <v>1</v>
      </c>
      <c r="E97" s="410">
        <f>+D97/D98</f>
        <v>5.5555555555555552E-2</v>
      </c>
      <c r="F97" s="344">
        <f>+E97</f>
        <v>5.5555555555555552E-2</v>
      </c>
      <c r="G97" s="345">
        <v>100</v>
      </c>
      <c r="H97" s="345">
        <f>+F97*G97/G98</f>
        <v>111.1111111111111</v>
      </c>
    </row>
    <row r="98" spans="1:8" hidden="1" x14ac:dyDescent="0.2">
      <c r="B98" s="345">
        <v>20</v>
      </c>
      <c r="C98" s="410"/>
      <c r="D98" s="345">
        <v>18</v>
      </c>
      <c r="E98" s="410"/>
      <c r="F98" s="345"/>
      <c r="G98" s="345">
        <f>+C97</f>
        <v>0.05</v>
      </c>
      <c r="H98" s="345"/>
    </row>
    <row r="99" spans="1:8" hidden="1" x14ac:dyDescent="0.2">
      <c r="B99" s="345"/>
      <c r="C99" s="410"/>
      <c r="D99" s="410"/>
      <c r="E99" s="345"/>
      <c r="F99" s="345"/>
      <c r="G99" s="345"/>
      <c r="H99" s="345"/>
    </row>
    <row r="100" spans="1:8" hidden="1" x14ac:dyDescent="0.2">
      <c r="B100" s="345"/>
      <c r="C100" s="768" t="s">
        <v>17</v>
      </c>
      <c r="D100" s="769"/>
      <c r="E100" s="345"/>
      <c r="F100" s="345"/>
      <c r="G100" s="345"/>
      <c r="H100" s="345"/>
    </row>
    <row r="101" spans="1:8" hidden="1" x14ac:dyDescent="0.2">
      <c r="B101" s="345" t="s">
        <v>12</v>
      </c>
      <c r="C101" s="410"/>
      <c r="D101" s="410" t="s">
        <v>13</v>
      </c>
      <c r="E101" s="345"/>
      <c r="F101" s="345"/>
      <c r="G101" s="345"/>
      <c r="H101" s="345"/>
    </row>
    <row r="102" spans="1:8" hidden="1" x14ac:dyDescent="0.2">
      <c r="B102" s="344">
        <v>1</v>
      </c>
      <c r="C102" s="326">
        <f>+B102/B103</f>
        <v>7.7603600807077451E-5</v>
      </c>
      <c r="D102" s="344">
        <v>1</v>
      </c>
      <c r="E102" s="410">
        <f>+D102/D103</f>
        <v>1.443001443001443E-4</v>
      </c>
      <c r="F102" s="328">
        <v>3.9707750999999999E-2</v>
      </c>
      <c r="G102" s="345">
        <v>100</v>
      </c>
      <c r="H102" s="351">
        <f>+F102*G102/F103</f>
        <v>1384.5101464435147</v>
      </c>
    </row>
    <row r="103" spans="1:8" hidden="1" x14ac:dyDescent="0.2">
      <c r="B103" s="353">
        <v>12886</v>
      </c>
      <c r="C103" s="410"/>
      <c r="D103" s="353">
        <v>6930</v>
      </c>
      <c r="E103" s="410"/>
      <c r="F103" s="329">
        <v>2.8679999999999999E-3</v>
      </c>
      <c r="G103" s="345"/>
      <c r="H103" s="345"/>
    </row>
    <row r="104" spans="1:8" hidden="1" x14ac:dyDescent="0.2"/>
    <row r="105" spans="1:8" x14ac:dyDescent="0.2">
      <c r="B105" s="367" t="s">
        <v>177</v>
      </c>
      <c r="C105" s="368" t="s">
        <v>186</v>
      </c>
      <c r="D105" s="369"/>
    </row>
    <row r="106" spans="1:8" x14ac:dyDescent="0.2">
      <c r="A106" s="172" t="s">
        <v>177</v>
      </c>
      <c r="B106" s="370"/>
      <c r="C106" s="371" t="s">
        <v>184</v>
      </c>
      <c r="D106" s="372"/>
    </row>
    <row r="107" spans="1:8" x14ac:dyDescent="0.2">
      <c r="B107" s="370"/>
      <c r="C107" s="370"/>
      <c r="D107" s="370"/>
    </row>
    <row r="108" spans="1:8" x14ac:dyDescent="0.2">
      <c r="B108" s="370"/>
      <c r="C108" s="370"/>
      <c r="D108" s="370"/>
    </row>
    <row r="109" spans="1:8" x14ac:dyDescent="0.2">
      <c r="B109" s="367" t="s">
        <v>177</v>
      </c>
      <c r="C109" s="368" t="s">
        <v>187</v>
      </c>
      <c r="D109" s="369"/>
    </row>
    <row r="110" spans="1:8" x14ac:dyDescent="0.2">
      <c r="B110" s="370"/>
      <c r="C110" s="371" t="s">
        <v>185</v>
      </c>
      <c r="D110" s="372"/>
    </row>
  </sheetData>
  <mergeCells count="43">
    <mergeCell ref="B95:E95"/>
    <mergeCell ref="C100:D100"/>
    <mergeCell ref="B76:E76"/>
    <mergeCell ref="B64:C64"/>
    <mergeCell ref="D64:E64"/>
    <mergeCell ref="B69:E69"/>
    <mergeCell ref="B77:B78"/>
    <mergeCell ref="C77:C78"/>
    <mergeCell ref="D77:E77"/>
    <mergeCell ref="B83:E83"/>
    <mergeCell ref="C88:D88"/>
    <mergeCell ref="F69:H69"/>
    <mergeCell ref="B50:E50"/>
    <mergeCell ref="B51:B52"/>
    <mergeCell ref="C51:C52"/>
    <mergeCell ref="D51:E51"/>
    <mergeCell ref="B63:E63"/>
    <mergeCell ref="F63:H63"/>
    <mergeCell ref="B44:E44"/>
    <mergeCell ref="F44:H44"/>
    <mergeCell ref="B24:C24"/>
    <mergeCell ref="D24:E24"/>
    <mergeCell ref="B29:E29"/>
    <mergeCell ref="B30:B31"/>
    <mergeCell ref="C30:C31"/>
    <mergeCell ref="D30:E30"/>
    <mergeCell ref="C37:D37"/>
    <mergeCell ref="B38:E38"/>
    <mergeCell ref="F38:H38"/>
    <mergeCell ref="B39:C39"/>
    <mergeCell ref="D39:E39"/>
    <mergeCell ref="B17:E17"/>
    <mergeCell ref="F17:H17"/>
    <mergeCell ref="B18:C18"/>
    <mergeCell ref="D18:E18"/>
    <mergeCell ref="B23:E23"/>
    <mergeCell ref="F23:H23"/>
    <mergeCell ref="B1:H1"/>
    <mergeCell ref="C2:D2"/>
    <mergeCell ref="B3:E3"/>
    <mergeCell ref="B4:B5"/>
    <mergeCell ref="C4:C5"/>
    <mergeCell ref="D4:E4"/>
  </mergeCells>
  <printOptions horizontalCentered="1"/>
  <pageMargins left="0.70866141732283472" right="0.70866141732283472" top="0.74803149606299213" bottom="0.74803149606299213" header="0.31496062992125984" footer="0.31496062992125984"/>
  <pageSetup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9</vt:i4>
      </vt:variant>
    </vt:vector>
  </HeadingPairs>
  <TitlesOfParts>
    <vt:vector size="20" baseType="lpstr">
      <vt:lpstr>anexo1</vt:lpstr>
      <vt:lpstr>Hoja1 (2)</vt:lpstr>
      <vt:lpstr>DATOS1</vt:lpstr>
      <vt:lpstr>anexo3 DATOS</vt:lpstr>
      <vt:lpstr>anexo11(18)</vt:lpstr>
      <vt:lpstr>anexo01(19) real</vt:lpstr>
      <vt:lpstr>anexo12 (18) NO PROGRAMADAS</vt:lpstr>
      <vt:lpstr>anexo3 (1.2) (2)</vt:lpstr>
      <vt:lpstr>anexoREF DISIND (2)</vt:lpstr>
      <vt:lpstr>anexo11-JL-DIC2018 DISIND</vt:lpstr>
      <vt:lpstr>anexo7 (1.1)</vt:lpstr>
      <vt:lpstr>anexo1!Área_de_impresión</vt:lpstr>
      <vt:lpstr>'anexo7 (1.1)'!Área_de_impresión</vt:lpstr>
      <vt:lpstr>'anexo01(19) real'!Títulos_a_imprimir</vt:lpstr>
      <vt:lpstr>'anexo11(18)'!Títulos_a_imprimir</vt:lpstr>
      <vt:lpstr>'anexo11-JL-DIC2018 DISIND'!Títulos_a_imprimir</vt:lpstr>
      <vt:lpstr>'anexo12 (18) NO PROGRAMADAS'!Títulos_a_imprimir</vt:lpstr>
      <vt:lpstr>'anexo3 (1.2) (2)'!Títulos_a_imprimir</vt:lpstr>
      <vt:lpstr>'anexo7 (1.1)'!Títulos_a_imprimir</vt:lpstr>
      <vt:lpstr>'anexoREF DISIND (2)'!Títulos_a_imprimir</vt:lpstr>
    </vt:vector>
  </TitlesOfParts>
  <Company>FPS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Carvajal</dc:creator>
  <cp:lastModifiedBy>Secretaria.1</cp:lastModifiedBy>
  <cp:lastPrinted>2020-01-30T15:55:44Z</cp:lastPrinted>
  <dcterms:created xsi:type="dcterms:W3CDTF">2006-01-17T13:53:39Z</dcterms:created>
  <dcterms:modified xsi:type="dcterms:W3CDTF">2020-01-31T21:29:40Z</dcterms:modified>
</cp:coreProperties>
</file>